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-15" windowWidth="14430" windowHeight="12840"/>
  </bookViews>
  <sheets>
    <sheet name="Ported T-S Model" sheetId="4" r:id="rId1"/>
  </sheets>
  <definedNames>
    <definedName name="Bl">'Ported T-S Model'!$E$30</definedName>
    <definedName name="Dbl">'Ported T-S Model'!$E$44</definedName>
    <definedName name="Dd">'Ported T-S Model'!$E$29</definedName>
    <definedName name="Dp">'Ported T-S Model'!$E$40</definedName>
    <definedName name="Fb">'Ported T-S Model'!$E$35</definedName>
    <definedName name="Fs">'Ported T-S Model'!$E$19</definedName>
    <definedName name="Kbp">'Ported T-S Model'!$E$46</definedName>
    <definedName name="Kd">'Ported T-S Model'!$E$27</definedName>
    <definedName name="Le">'Ported T-S Model'!$E$18</definedName>
    <definedName name="Lp">'Ported T-S Model'!$E$47</definedName>
    <definedName name="LpM">'Ported T-S Model'!$E$59</definedName>
    <definedName name="LpR">'Ported T-S Model'!$E$58</definedName>
    <definedName name="MaxV">'Ported T-S Model'!$E$56</definedName>
    <definedName name="Md">'Ported T-S Model'!$E$28</definedName>
    <definedName name="Mp">'Ported T-S Model'!$E$45</definedName>
    <definedName name="MVd">'Ported T-S Model'!$E$53</definedName>
    <definedName name="MVp">'Ported T-S Model'!$E$55</definedName>
    <definedName name="Qbl">'Ported T-S Model'!$E$36</definedName>
    <definedName name="Qes">'Ported T-S Model'!$E$21</definedName>
    <definedName name="Qms">'Ported T-S Model'!$E$20</definedName>
    <definedName name="Qts">'Ported T-S Model'!$E$22</definedName>
    <definedName name="Re">'Ported T-S Model'!$E$17</definedName>
    <definedName name="Rho">'Ported T-S Model'!$E$13</definedName>
    <definedName name="Sd">'Ported T-S Model'!$E$23</definedName>
    <definedName name="SensV">'Ported T-S Model'!$E$31</definedName>
    <definedName name="Sp">'Ported T-S Model'!$E$39</definedName>
    <definedName name="SpR">'Ported T-S Model'!$E$57</definedName>
    <definedName name="SS">'Ported T-S Model'!$E$14</definedName>
    <definedName name="Vas">'Ported T-S Model'!$E$24</definedName>
    <definedName name="Vb">'Ported T-S Model'!$E$34</definedName>
    <definedName name="Vpm">'Ported T-S Model'!$E$41</definedName>
    <definedName name="Xdmax">'Ported T-S Model'!$E$25</definedName>
  </definedNames>
  <calcPr calcId="145621"/>
</workbook>
</file>

<file path=xl/calcChain.xml><?xml version="1.0" encoding="utf-8"?>
<calcChain xmlns="http://schemas.openxmlformats.org/spreadsheetml/2006/main">
  <c r="E22" i="4" l="1"/>
  <c r="E59" i="4" l="1"/>
  <c r="E44" i="4" l="1"/>
  <c r="E27" i="4" l="1"/>
  <c r="D318" i="4" l="1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E317" i="4" l="1"/>
  <c r="D317" i="4"/>
  <c r="E316" i="4"/>
  <c r="D316" i="4"/>
  <c r="E315" i="4"/>
  <c r="D315" i="4"/>
  <c r="E314" i="4"/>
  <c r="D314" i="4"/>
  <c r="E313" i="4"/>
  <c r="D313" i="4"/>
  <c r="E312" i="4"/>
  <c r="D312" i="4"/>
  <c r="E311" i="4"/>
  <c r="D311" i="4"/>
  <c r="E310" i="4"/>
  <c r="D310" i="4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E300" i="4"/>
  <c r="D300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3" i="4"/>
  <c r="D293" i="4"/>
  <c r="E292" i="4"/>
  <c r="D292" i="4"/>
  <c r="E291" i="4"/>
  <c r="D291" i="4"/>
  <c r="E290" i="4"/>
  <c r="D290" i="4"/>
  <c r="E289" i="4"/>
  <c r="D289" i="4"/>
  <c r="E288" i="4"/>
  <c r="D288" i="4"/>
  <c r="E287" i="4"/>
  <c r="D287" i="4"/>
  <c r="E286" i="4"/>
  <c r="D286" i="4"/>
  <c r="E285" i="4"/>
  <c r="D285" i="4"/>
  <c r="E284" i="4"/>
  <c r="D284" i="4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4" i="4"/>
  <c r="D274" i="4"/>
  <c r="E273" i="4"/>
  <c r="D273" i="4"/>
  <c r="E272" i="4"/>
  <c r="D272" i="4"/>
  <c r="E271" i="4"/>
  <c r="D271" i="4"/>
  <c r="E270" i="4"/>
  <c r="D270" i="4"/>
  <c r="E269" i="4"/>
  <c r="D269" i="4"/>
  <c r="E268" i="4"/>
  <c r="D268" i="4"/>
  <c r="E267" i="4"/>
  <c r="D267" i="4"/>
  <c r="E266" i="4"/>
  <c r="D266" i="4"/>
  <c r="E265" i="4"/>
  <c r="D265" i="4"/>
  <c r="E264" i="4"/>
  <c r="D264" i="4"/>
  <c r="E263" i="4"/>
  <c r="D263" i="4"/>
  <c r="E262" i="4"/>
  <c r="D262" i="4"/>
  <c r="E261" i="4"/>
  <c r="D261" i="4"/>
  <c r="E260" i="4"/>
  <c r="D260" i="4"/>
  <c r="E259" i="4"/>
  <c r="D259" i="4"/>
  <c r="E258" i="4"/>
  <c r="D258" i="4"/>
  <c r="E257" i="4"/>
  <c r="D257" i="4"/>
  <c r="E256" i="4"/>
  <c r="D256" i="4"/>
  <c r="E255" i="4"/>
  <c r="D255" i="4"/>
  <c r="E254" i="4"/>
  <c r="D254" i="4"/>
  <c r="E253" i="4"/>
  <c r="D253" i="4"/>
  <c r="E252" i="4"/>
  <c r="D252" i="4"/>
  <c r="E251" i="4"/>
  <c r="D251" i="4"/>
  <c r="E250" i="4"/>
  <c r="D250" i="4"/>
  <c r="E249" i="4"/>
  <c r="D249" i="4"/>
  <c r="E248" i="4"/>
  <c r="D248" i="4"/>
  <c r="E247" i="4"/>
  <c r="D247" i="4"/>
  <c r="E246" i="4"/>
  <c r="D246" i="4"/>
  <c r="E245" i="4"/>
  <c r="D245" i="4"/>
  <c r="E244" i="4"/>
  <c r="D244" i="4"/>
  <c r="E243" i="4"/>
  <c r="D243" i="4"/>
  <c r="E242" i="4"/>
  <c r="D242" i="4"/>
  <c r="E241" i="4"/>
  <c r="D241" i="4"/>
  <c r="E240" i="4"/>
  <c r="D240" i="4"/>
  <c r="E239" i="4"/>
  <c r="D239" i="4"/>
  <c r="E238" i="4"/>
  <c r="D238" i="4"/>
  <c r="E237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40" i="4"/>
  <c r="E47" i="4"/>
  <c r="E46" i="4" l="1"/>
  <c r="E28" i="4" l="1"/>
  <c r="E45" i="4"/>
  <c r="F315" i="4" s="1"/>
  <c r="F338" i="4" l="1"/>
  <c r="F358" i="4"/>
  <c r="F321" i="4"/>
  <c r="F323" i="4"/>
  <c r="F359" i="4"/>
  <c r="F335" i="4"/>
  <c r="F354" i="4"/>
  <c r="F340" i="4"/>
  <c r="F356" i="4"/>
  <c r="F362" i="4"/>
  <c r="F357" i="4"/>
  <c r="F326" i="4"/>
  <c r="F336" i="4"/>
  <c r="F331" i="4"/>
  <c r="F327" i="4"/>
  <c r="F363" i="4"/>
  <c r="F367" i="4"/>
  <c r="F330" i="4"/>
  <c r="F351" i="4"/>
  <c r="F348" i="4"/>
  <c r="F322" i="4"/>
  <c r="F350" i="4"/>
  <c r="F346" i="4"/>
  <c r="F360" i="4"/>
  <c r="F328" i="4"/>
  <c r="F349" i="4"/>
  <c r="F347" i="4"/>
  <c r="F339" i="4"/>
  <c r="F353" i="4"/>
  <c r="F361" i="4"/>
  <c r="F355" i="4"/>
  <c r="F345" i="4"/>
  <c r="F318" i="4"/>
  <c r="F337" i="4"/>
  <c r="F343" i="4"/>
  <c r="F352" i="4"/>
  <c r="F324" i="4"/>
  <c r="F319" i="4"/>
  <c r="F342" i="4"/>
  <c r="F365" i="4"/>
  <c r="F325" i="4"/>
  <c r="F334" i="4"/>
  <c r="F344" i="4"/>
  <c r="F364" i="4"/>
  <c r="F332" i="4"/>
  <c r="F366" i="4"/>
  <c r="F329" i="4"/>
  <c r="F333" i="4"/>
  <c r="F341" i="4"/>
  <c r="F320" i="4"/>
  <c r="F185" i="4"/>
  <c r="F244" i="4"/>
  <c r="F227" i="4"/>
  <c r="F199" i="4"/>
  <c r="F291" i="4"/>
  <c r="F207" i="4"/>
  <c r="F264" i="4"/>
  <c r="F235" i="4"/>
  <c r="F226" i="4"/>
  <c r="F179" i="4"/>
  <c r="F205" i="4"/>
  <c r="F257" i="4"/>
  <c r="F167" i="4"/>
  <c r="F282" i="4"/>
  <c r="F285" i="4"/>
  <c r="F302" i="4"/>
  <c r="F280" i="4"/>
  <c r="F262" i="4"/>
  <c r="F219" i="4"/>
  <c r="F223" i="4"/>
  <c r="F187" i="4"/>
  <c r="F186" i="4"/>
  <c r="F190" i="4"/>
  <c r="F295" i="4"/>
  <c r="F317" i="4"/>
  <c r="F247" i="4"/>
  <c r="F292" i="4"/>
  <c r="F307" i="4"/>
  <c r="F289" i="4"/>
  <c r="F279" i="4"/>
  <c r="F256" i="4"/>
  <c r="F236" i="4"/>
  <c r="F233" i="4"/>
  <c r="F301" i="4"/>
  <c r="F290" i="4"/>
  <c r="F251" i="4"/>
  <c r="F305" i="4"/>
  <c r="F276" i="4"/>
  <c r="F314" i="4"/>
  <c r="F304" i="4"/>
  <c r="F294" i="4"/>
  <c r="F268" i="4"/>
  <c r="F232" i="4"/>
  <c r="F200" i="4"/>
  <c r="F208" i="4"/>
  <c r="F183" i="4"/>
  <c r="F241" i="4"/>
  <c r="F222" i="4"/>
  <c r="F180" i="4"/>
  <c r="F212" i="4"/>
  <c r="F168" i="4"/>
  <c r="F192" i="4"/>
  <c r="F231" i="4"/>
  <c r="F217" i="4"/>
  <c r="F246" i="4"/>
  <c r="F275" i="4"/>
  <c r="F178" i="4"/>
  <c r="F221" i="4"/>
  <c r="F215" i="4"/>
  <c r="F195" i="4"/>
  <c r="F209" i="4"/>
  <c r="F266" i="4"/>
  <c r="F252" i="4"/>
  <c r="F234" i="4"/>
  <c r="F258" i="4"/>
  <c r="F300" i="4"/>
  <c r="F287" i="4"/>
  <c r="F278" i="4"/>
  <c r="F250" i="4"/>
  <c r="F306" i="4"/>
  <c r="F310" i="4"/>
  <c r="F296" i="4"/>
  <c r="F281" i="4"/>
  <c r="F243" i="4"/>
  <c r="F298" i="4"/>
  <c r="F238" i="4"/>
  <c r="F313" i="4"/>
  <c r="F303" i="4"/>
  <c r="F284" i="4"/>
  <c r="F260" i="4"/>
  <c r="F277" i="4"/>
  <c r="F177" i="4"/>
  <c r="F237" i="4"/>
  <c r="F196" i="4"/>
  <c r="F225" i="4"/>
  <c r="F249" i="4"/>
  <c r="F174" i="4"/>
  <c r="F181" i="4"/>
  <c r="F182" i="4"/>
  <c r="F170" i="4"/>
  <c r="F248" i="4"/>
  <c r="F229" i="4"/>
  <c r="F273" i="4"/>
  <c r="F173" i="4"/>
  <c r="F224" i="4"/>
  <c r="F220" i="4"/>
  <c r="F184" i="4"/>
  <c r="F175" i="4"/>
  <c r="F206" i="4"/>
  <c r="F270" i="4"/>
  <c r="F203" i="4"/>
  <c r="F230" i="4"/>
  <c r="F269" i="4"/>
  <c r="F299" i="4"/>
  <c r="F286" i="4"/>
  <c r="F272" i="4"/>
  <c r="F242" i="4"/>
  <c r="F263" i="4"/>
  <c r="F309" i="4"/>
  <c r="F293" i="4"/>
  <c r="F267" i="4"/>
  <c r="F240" i="4"/>
  <c r="F288" i="4"/>
  <c r="F316" i="4"/>
  <c r="F312" i="4"/>
  <c r="F297" i="4"/>
  <c r="F283" i="4"/>
  <c r="F254" i="4"/>
  <c r="F271" i="4"/>
  <c r="F193" i="4"/>
  <c r="F188" i="4"/>
  <c r="F211" i="4"/>
  <c r="F202" i="4"/>
  <c r="F274" i="4"/>
  <c r="F213" i="4"/>
  <c r="F194" i="4"/>
  <c r="F216" i="4"/>
  <c r="F171" i="4"/>
  <c r="F197" i="4"/>
  <c r="F214" i="4"/>
  <c r="F261" i="4"/>
  <c r="F189" i="4"/>
  <c r="F204" i="4"/>
  <c r="F169" i="4"/>
  <c r="F198" i="4"/>
  <c r="F191" i="4"/>
  <c r="F218" i="4"/>
  <c r="F228" i="4"/>
  <c r="F265" i="4"/>
  <c r="F245" i="4"/>
  <c r="F201" i="4"/>
  <c r="F176" i="4"/>
  <c r="F253" i="4"/>
  <c r="F172" i="4"/>
  <c r="F210" i="4"/>
  <c r="F255" i="4"/>
  <c r="F311" i="4"/>
  <c r="F259" i="4"/>
  <c r="F239" i="4"/>
  <c r="F308" i="4"/>
  <c r="E30" i="4"/>
  <c r="E29" i="4"/>
  <c r="G323" i="4" l="1"/>
  <c r="G358" i="4"/>
  <c r="G326" i="4"/>
  <c r="G338" i="4"/>
  <c r="G335" i="4"/>
  <c r="G357" i="4"/>
  <c r="G336" i="4"/>
  <c r="G362" i="4"/>
  <c r="G356" i="4"/>
  <c r="G359" i="4"/>
  <c r="G340" i="4"/>
  <c r="G321" i="4"/>
  <c r="G354" i="4"/>
  <c r="G325" i="4"/>
  <c r="G347" i="4"/>
  <c r="G346" i="4"/>
  <c r="G351" i="4"/>
  <c r="G327" i="4"/>
  <c r="G320" i="4"/>
  <c r="G366" i="4"/>
  <c r="G344" i="4"/>
  <c r="G365" i="4"/>
  <c r="G337" i="4"/>
  <c r="G361" i="4"/>
  <c r="G349" i="4"/>
  <c r="G350" i="4"/>
  <c r="G330" i="4"/>
  <c r="G343" i="4"/>
  <c r="G341" i="4"/>
  <c r="G332" i="4"/>
  <c r="G342" i="4"/>
  <c r="G324" i="4"/>
  <c r="G318" i="4"/>
  <c r="G353" i="4"/>
  <c r="G328" i="4"/>
  <c r="G322" i="4"/>
  <c r="G367" i="4"/>
  <c r="G331" i="4"/>
  <c r="G329" i="4"/>
  <c r="G319" i="4"/>
  <c r="G355" i="4"/>
  <c r="G333" i="4"/>
  <c r="G364" i="4"/>
  <c r="G334" i="4"/>
  <c r="G352" i="4"/>
  <c r="G345" i="4"/>
  <c r="G339" i="4"/>
  <c r="G360" i="4"/>
  <c r="G348" i="4"/>
  <c r="G363" i="4"/>
  <c r="G185" i="4"/>
  <c r="I185" i="4" s="1"/>
  <c r="G228" i="4"/>
  <c r="I228" i="4" s="1"/>
  <c r="G169" i="4"/>
  <c r="H169" i="4" s="1"/>
  <c r="G214" i="4"/>
  <c r="K214" i="4" s="1"/>
  <c r="L214" i="4" s="1"/>
  <c r="G175" i="4"/>
  <c r="H175" i="4" s="1"/>
  <c r="G170" i="4"/>
  <c r="H170" i="4" s="1"/>
  <c r="G177" i="4"/>
  <c r="H177" i="4" s="1"/>
  <c r="G210" i="4"/>
  <c r="K210" i="4" s="1"/>
  <c r="L210" i="4" s="1"/>
  <c r="G201" i="4"/>
  <c r="I201" i="4" s="1"/>
  <c r="G221" i="4"/>
  <c r="K221" i="4" s="1"/>
  <c r="L221" i="4" s="1"/>
  <c r="G217" i="4"/>
  <c r="I217" i="4" s="1"/>
  <c r="G212" i="4"/>
  <c r="I212" i="4" s="1"/>
  <c r="G183" i="4"/>
  <c r="K183" i="4" s="1"/>
  <c r="G190" i="4"/>
  <c r="I190" i="4" s="1"/>
  <c r="G316" i="4"/>
  <c r="K316" i="4" s="1"/>
  <c r="L316" i="4" s="1"/>
  <c r="G230" i="4"/>
  <c r="I230" i="4" s="1"/>
  <c r="G173" i="4"/>
  <c r="K173" i="4" s="1"/>
  <c r="L173" i="4" s="1"/>
  <c r="G249" i="4"/>
  <c r="I249" i="4" s="1"/>
  <c r="G235" i="4"/>
  <c r="K235" i="4" s="1"/>
  <c r="G172" i="4"/>
  <c r="H172" i="4" s="1"/>
  <c r="H185" i="4"/>
  <c r="G197" i="4"/>
  <c r="G203" i="4"/>
  <c r="G182" i="4"/>
  <c r="G225" i="4"/>
  <c r="G313" i="4"/>
  <c r="G209" i="4"/>
  <c r="G178" i="4"/>
  <c r="G180" i="4"/>
  <c r="G208" i="4"/>
  <c r="G186" i="4"/>
  <c r="G262" i="4"/>
  <c r="G205" i="4"/>
  <c r="G227" i="4"/>
  <c r="G218" i="4"/>
  <c r="G213" i="4"/>
  <c r="G311" i="4"/>
  <c r="G245" i="4"/>
  <c r="G191" i="4"/>
  <c r="G189" i="4"/>
  <c r="G171" i="4"/>
  <c r="G274" i="4"/>
  <c r="G193" i="4"/>
  <c r="G270" i="4"/>
  <c r="G220" i="4"/>
  <c r="G229" i="4"/>
  <c r="G181" i="4"/>
  <c r="G196" i="4"/>
  <c r="G195" i="4"/>
  <c r="G275" i="4"/>
  <c r="G192" i="4"/>
  <c r="G222" i="4"/>
  <c r="G317" i="4"/>
  <c r="G187" i="4"/>
  <c r="G207" i="4"/>
  <c r="G179" i="4"/>
  <c r="G188" i="4"/>
  <c r="E31" i="4"/>
  <c r="G309" i="4"/>
  <c r="G301" i="4"/>
  <c r="G291" i="4"/>
  <c r="G290" i="4"/>
  <c r="G286" i="4"/>
  <c r="G278" i="4"/>
  <c r="G303" i="4"/>
  <c r="G295" i="4"/>
  <c r="G294" i="4"/>
  <c r="G283" i="4"/>
  <c r="G282" i="4"/>
  <c r="G307" i="4"/>
  <c r="G279" i="4"/>
  <c r="G305" i="4"/>
  <c r="G276" i="4"/>
  <c r="G299" i="4"/>
  <c r="G287" i="4"/>
  <c r="G293" i="4"/>
  <c r="G199" i="4"/>
  <c r="G223" i="4"/>
  <c r="G204" i="4"/>
  <c r="G242" i="4"/>
  <c r="G233" i="4"/>
  <c r="G250" i="4"/>
  <c r="G273" i="4"/>
  <c r="G281" i="4"/>
  <c r="G261" i="4"/>
  <c r="G253" i="4"/>
  <c r="G292" i="4"/>
  <c r="G243" i="4"/>
  <c r="G259" i="4"/>
  <c r="G300" i="4"/>
  <c r="G264" i="4"/>
  <c r="G284" i="4"/>
  <c r="G306" i="4"/>
  <c r="G194" i="4"/>
  <c r="G241" i="4"/>
  <c r="G297" i="4"/>
  <c r="G211" i="4"/>
  <c r="G266" i="4"/>
  <c r="G232" i="4"/>
  <c r="G254" i="4"/>
  <c r="G247" i="4"/>
  <c r="G263" i="4"/>
  <c r="G296" i="4"/>
  <c r="G304" i="4"/>
  <c r="G268" i="4"/>
  <c r="G280" i="4"/>
  <c r="G298" i="4"/>
  <c r="G310" i="4"/>
  <c r="G285" i="4"/>
  <c r="G219" i="4"/>
  <c r="G289" i="4"/>
  <c r="G184" i="4"/>
  <c r="G288" i="4"/>
  <c r="G231" i="4"/>
  <c r="G265" i="4"/>
  <c r="G234" i="4"/>
  <c r="G257" i="4"/>
  <c r="G240" i="4"/>
  <c r="G256" i="4"/>
  <c r="G236" i="4"/>
  <c r="G244" i="4"/>
  <c r="G258" i="4"/>
  <c r="G251" i="4"/>
  <c r="G267" i="4"/>
  <c r="G308" i="4"/>
  <c r="G302" i="4"/>
  <c r="G200" i="4"/>
  <c r="G168" i="4"/>
  <c r="G238" i="4"/>
  <c r="G255" i="4"/>
  <c r="G260" i="4"/>
  <c r="G271" i="4"/>
  <c r="G272" i="4"/>
  <c r="G277" i="4"/>
  <c r="G239" i="4"/>
  <c r="G176" i="4"/>
  <c r="G198" i="4"/>
  <c r="G216" i="4"/>
  <c r="G202" i="4"/>
  <c r="G312" i="4"/>
  <c r="G269" i="4"/>
  <c r="G206" i="4"/>
  <c r="G224" i="4"/>
  <c r="G248" i="4"/>
  <c r="G174" i="4"/>
  <c r="G237" i="4"/>
  <c r="G252" i="4"/>
  <c r="G215" i="4"/>
  <c r="G246" i="4"/>
  <c r="G314" i="4"/>
  <c r="G315" i="4"/>
  <c r="G167" i="4"/>
  <c r="G226" i="4"/>
  <c r="N183" i="4" l="1"/>
  <c r="L183" i="4"/>
  <c r="N235" i="4"/>
  <c r="L235" i="4"/>
  <c r="K249" i="4"/>
  <c r="L249" i="4" s="1"/>
  <c r="K190" i="4"/>
  <c r="L190" i="4" s="1"/>
  <c r="I221" i="4"/>
  <c r="I170" i="4"/>
  <c r="P172" i="4"/>
  <c r="Q172" i="4"/>
  <c r="P177" i="4"/>
  <c r="Q177" i="4"/>
  <c r="P169" i="4"/>
  <c r="Q169" i="4"/>
  <c r="P170" i="4"/>
  <c r="Q170" i="4"/>
  <c r="P185" i="4"/>
  <c r="Q185" i="4"/>
  <c r="P175" i="4"/>
  <c r="Q175" i="4"/>
  <c r="K319" i="4"/>
  <c r="L319" i="4" s="1"/>
  <c r="H319" i="4"/>
  <c r="Q319" i="4" s="1"/>
  <c r="I319" i="4"/>
  <c r="I343" i="4"/>
  <c r="K343" i="4"/>
  <c r="L343" i="4" s="1"/>
  <c r="H343" i="4"/>
  <c r="Q343" i="4" s="1"/>
  <c r="K346" i="4"/>
  <c r="L346" i="4" s="1"/>
  <c r="I346" i="4"/>
  <c r="H346" i="4"/>
  <c r="Q346" i="4" s="1"/>
  <c r="I338" i="4"/>
  <c r="K338" i="4"/>
  <c r="L338" i="4" s="1"/>
  <c r="H338" i="4"/>
  <c r="Q338" i="4" s="1"/>
  <c r="H339" i="4"/>
  <c r="Q339" i="4" s="1"/>
  <c r="K339" i="4"/>
  <c r="L339" i="4" s="1"/>
  <c r="I339" i="4"/>
  <c r="K364" i="4"/>
  <c r="L364" i="4" s="1"/>
  <c r="I364" i="4"/>
  <c r="H364" i="4"/>
  <c r="Q364" i="4" s="1"/>
  <c r="K329" i="4"/>
  <c r="L329" i="4" s="1"/>
  <c r="I329" i="4"/>
  <c r="H329" i="4"/>
  <c r="Q329" i="4" s="1"/>
  <c r="I328" i="4"/>
  <c r="K328" i="4"/>
  <c r="L328" i="4" s="1"/>
  <c r="H328" i="4"/>
  <c r="Q328" i="4" s="1"/>
  <c r="H342" i="4"/>
  <c r="Q342" i="4" s="1"/>
  <c r="K342" i="4"/>
  <c r="L342" i="4" s="1"/>
  <c r="I342" i="4"/>
  <c r="K330" i="4"/>
  <c r="L330" i="4" s="1"/>
  <c r="H330" i="4"/>
  <c r="Q330" i="4" s="1"/>
  <c r="I330" i="4"/>
  <c r="K337" i="4"/>
  <c r="L337" i="4" s="1"/>
  <c r="I337" i="4"/>
  <c r="H337" i="4"/>
  <c r="Q337" i="4" s="1"/>
  <c r="K320" i="4"/>
  <c r="L320" i="4" s="1"/>
  <c r="I320" i="4"/>
  <c r="H320" i="4"/>
  <c r="Q320" i="4" s="1"/>
  <c r="K347" i="4"/>
  <c r="L347" i="4" s="1"/>
  <c r="H347" i="4"/>
  <c r="Q347" i="4" s="1"/>
  <c r="I347" i="4"/>
  <c r="K340" i="4"/>
  <c r="L340" i="4" s="1"/>
  <c r="H340" i="4"/>
  <c r="Q340" i="4" s="1"/>
  <c r="I340" i="4"/>
  <c r="K336" i="4"/>
  <c r="L336" i="4" s="1"/>
  <c r="I336" i="4"/>
  <c r="H336" i="4"/>
  <c r="Q336" i="4" s="1"/>
  <c r="K326" i="4"/>
  <c r="L326" i="4" s="1"/>
  <c r="H326" i="4"/>
  <c r="Q326" i="4" s="1"/>
  <c r="I326" i="4"/>
  <c r="K360" i="4"/>
  <c r="L360" i="4" s="1"/>
  <c r="I360" i="4"/>
  <c r="H360" i="4"/>
  <c r="Q360" i="4" s="1"/>
  <c r="H322" i="4"/>
  <c r="Q322" i="4" s="1"/>
  <c r="K322" i="4"/>
  <c r="L322" i="4" s="1"/>
  <c r="I322" i="4"/>
  <c r="K366" i="4"/>
  <c r="L366" i="4" s="1"/>
  <c r="I366" i="4"/>
  <c r="H366" i="4"/>
  <c r="Q366" i="4" s="1"/>
  <c r="H362" i="4"/>
  <c r="Q362" i="4" s="1"/>
  <c r="K362" i="4"/>
  <c r="L362" i="4" s="1"/>
  <c r="I362" i="4"/>
  <c r="K363" i="4"/>
  <c r="L363" i="4" s="1"/>
  <c r="I363" i="4"/>
  <c r="H363" i="4"/>
  <c r="Q363" i="4" s="1"/>
  <c r="K345" i="4"/>
  <c r="L345" i="4" s="1"/>
  <c r="H345" i="4"/>
  <c r="Q345" i="4" s="1"/>
  <c r="I345" i="4"/>
  <c r="K333" i="4"/>
  <c r="L333" i="4" s="1"/>
  <c r="H333" i="4"/>
  <c r="Q333" i="4" s="1"/>
  <c r="I333" i="4"/>
  <c r="K331" i="4"/>
  <c r="L331" i="4" s="1"/>
  <c r="I331" i="4"/>
  <c r="H331" i="4"/>
  <c r="Q331" i="4" s="1"/>
  <c r="I353" i="4"/>
  <c r="H353" i="4"/>
  <c r="Q353" i="4" s="1"/>
  <c r="K353" i="4"/>
  <c r="L353" i="4" s="1"/>
  <c r="K332" i="4"/>
  <c r="L332" i="4" s="1"/>
  <c r="H332" i="4"/>
  <c r="Q332" i="4" s="1"/>
  <c r="I332" i="4"/>
  <c r="K350" i="4"/>
  <c r="L350" i="4" s="1"/>
  <c r="H350" i="4"/>
  <c r="Q350" i="4" s="1"/>
  <c r="I350" i="4"/>
  <c r="H365" i="4"/>
  <c r="Q365" i="4" s="1"/>
  <c r="K365" i="4"/>
  <c r="L365" i="4" s="1"/>
  <c r="I365" i="4"/>
  <c r="K327" i="4"/>
  <c r="L327" i="4" s="1"/>
  <c r="H327" i="4"/>
  <c r="Q327" i="4" s="1"/>
  <c r="I327" i="4"/>
  <c r="K325" i="4"/>
  <c r="L325" i="4" s="1"/>
  <c r="I325" i="4"/>
  <c r="H325" i="4"/>
  <c r="Q325" i="4" s="1"/>
  <c r="H359" i="4"/>
  <c r="Q359" i="4" s="1"/>
  <c r="K359" i="4"/>
  <c r="L359" i="4" s="1"/>
  <c r="I359" i="4"/>
  <c r="H357" i="4"/>
  <c r="Q357" i="4" s="1"/>
  <c r="I357" i="4"/>
  <c r="K357" i="4"/>
  <c r="L357" i="4" s="1"/>
  <c r="H358" i="4"/>
  <c r="Q358" i="4" s="1"/>
  <c r="K358" i="4"/>
  <c r="L358" i="4" s="1"/>
  <c r="I358" i="4"/>
  <c r="K334" i="4"/>
  <c r="L334" i="4" s="1"/>
  <c r="I334" i="4"/>
  <c r="H334" i="4"/>
  <c r="Q334" i="4" s="1"/>
  <c r="I324" i="4"/>
  <c r="K324" i="4"/>
  <c r="L324" i="4" s="1"/>
  <c r="H324" i="4"/>
  <c r="Q324" i="4" s="1"/>
  <c r="K361" i="4"/>
  <c r="L361" i="4" s="1"/>
  <c r="I361" i="4"/>
  <c r="H361" i="4"/>
  <c r="Q361" i="4" s="1"/>
  <c r="H321" i="4"/>
  <c r="Q321" i="4" s="1"/>
  <c r="K321" i="4"/>
  <c r="L321" i="4" s="1"/>
  <c r="I321" i="4"/>
  <c r="K348" i="4"/>
  <c r="L348" i="4" s="1"/>
  <c r="I348" i="4"/>
  <c r="H348" i="4"/>
  <c r="Q348" i="4" s="1"/>
  <c r="K352" i="4"/>
  <c r="L352" i="4" s="1"/>
  <c r="H352" i="4"/>
  <c r="Q352" i="4" s="1"/>
  <c r="I352" i="4"/>
  <c r="H355" i="4"/>
  <c r="Q355" i="4" s="1"/>
  <c r="K355" i="4"/>
  <c r="L355" i="4" s="1"/>
  <c r="I355" i="4"/>
  <c r="K367" i="4"/>
  <c r="L367" i="4" s="1"/>
  <c r="H367" i="4"/>
  <c r="Q367" i="4" s="1"/>
  <c r="I367" i="4"/>
  <c r="K318" i="4"/>
  <c r="L318" i="4" s="1"/>
  <c r="H318" i="4"/>
  <c r="Q318" i="4" s="1"/>
  <c r="I318" i="4"/>
  <c r="K341" i="4"/>
  <c r="L341" i="4" s="1"/>
  <c r="H341" i="4"/>
  <c r="Q341" i="4" s="1"/>
  <c r="I341" i="4"/>
  <c r="I349" i="4"/>
  <c r="H349" i="4"/>
  <c r="Q349" i="4" s="1"/>
  <c r="K349" i="4"/>
  <c r="L349" i="4" s="1"/>
  <c r="H344" i="4"/>
  <c r="Q344" i="4" s="1"/>
  <c r="K344" i="4"/>
  <c r="L344" i="4" s="1"/>
  <c r="I344" i="4"/>
  <c r="I351" i="4"/>
  <c r="K351" i="4"/>
  <c r="L351" i="4" s="1"/>
  <c r="H351" i="4"/>
  <c r="Q351" i="4" s="1"/>
  <c r="K354" i="4"/>
  <c r="L354" i="4" s="1"/>
  <c r="I354" i="4"/>
  <c r="H354" i="4"/>
  <c r="Q354" i="4" s="1"/>
  <c r="K356" i="4"/>
  <c r="L356" i="4" s="1"/>
  <c r="H356" i="4"/>
  <c r="Q356" i="4" s="1"/>
  <c r="I356" i="4"/>
  <c r="I335" i="4"/>
  <c r="H335" i="4"/>
  <c r="Q335" i="4" s="1"/>
  <c r="K335" i="4"/>
  <c r="L335" i="4" s="1"/>
  <c r="I323" i="4"/>
  <c r="H323" i="4"/>
  <c r="Q323" i="4" s="1"/>
  <c r="K323" i="4"/>
  <c r="L323" i="4" s="1"/>
  <c r="H173" i="4"/>
  <c r="M173" i="4" s="1"/>
  <c r="I183" i="4"/>
  <c r="K185" i="4"/>
  <c r="H221" i="4"/>
  <c r="O221" i="4" s="1"/>
  <c r="H228" i="4"/>
  <c r="M228" i="4" s="1"/>
  <c r="H190" i="4"/>
  <c r="K170" i="4"/>
  <c r="K228" i="4"/>
  <c r="H249" i="4"/>
  <c r="K177" i="4"/>
  <c r="L177" i="4" s="1"/>
  <c r="H316" i="4"/>
  <c r="H235" i="4"/>
  <c r="I169" i="4"/>
  <c r="K169" i="4"/>
  <c r="H217" i="4"/>
  <c r="Q217" i="4" s="1"/>
  <c r="K230" i="4"/>
  <c r="H210" i="4"/>
  <c r="H212" i="4"/>
  <c r="Q212" i="4" s="1"/>
  <c r="I177" i="4"/>
  <c r="I316" i="4"/>
  <c r="K212" i="4"/>
  <c r="I235" i="4"/>
  <c r="K217" i="4"/>
  <c r="H230" i="4"/>
  <c r="I210" i="4"/>
  <c r="I172" i="4"/>
  <c r="H214" i="4"/>
  <c r="Q214" i="4" s="1"/>
  <c r="I214" i="4"/>
  <c r="N210" i="4"/>
  <c r="K172" i="4"/>
  <c r="K201" i="4"/>
  <c r="I173" i="4"/>
  <c r="H201" i="4"/>
  <c r="M201" i="4" s="1"/>
  <c r="I175" i="4"/>
  <c r="H183" i="4"/>
  <c r="Q183" i="4" s="1"/>
  <c r="K175" i="4"/>
  <c r="N173" i="4"/>
  <c r="I260" i="4"/>
  <c r="H260" i="4"/>
  <c r="K260" i="4"/>
  <c r="L260" i="4" s="1"/>
  <c r="I256" i="4"/>
  <c r="H256" i="4"/>
  <c r="Q256" i="4" s="1"/>
  <c r="K256" i="4"/>
  <c r="L256" i="4" s="1"/>
  <c r="H296" i="4"/>
  <c r="Q296" i="4" s="1"/>
  <c r="I296" i="4"/>
  <c r="K296" i="4"/>
  <c r="L296" i="4" s="1"/>
  <c r="I264" i="4"/>
  <c r="H264" i="4"/>
  <c r="K264" i="4"/>
  <c r="L264" i="4" s="1"/>
  <c r="K204" i="4"/>
  <c r="L204" i="4" s="1"/>
  <c r="H204" i="4"/>
  <c r="I204" i="4"/>
  <c r="I294" i="4"/>
  <c r="H294" i="4"/>
  <c r="K294" i="4"/>
  <c r="L294" i="4" s="1"/>
  <c r="H207" i="4"/>
  <c r="I207" i="4"/>
  <c r="K207" i="4"/>
  <c r="L207" i="4" s="1"/>
  <c r="H220" i="4"/>
  <c r="I220" i="4"/>
  <c r="K220" i="4"/>
  <c r="L220" i="4" s="1"/>
  <c r="I313" i="4"/>
  <c r="H313" i="4"/>
  <c r="K313" i="4"/>
  <c r="L313" i="4" s="1"/>
  <c r="H224" i="4"/>
  <c r="I224" i="4"/>
  <c r="K224" i="4"/>
  <c r="L224" i="4" s="1"/>
  <c r="I198" i="4"/>
  <c r="H198" i="4"/>
  <c r="K198" i="4"/>
  <c r="L198" i="4" s="1"/>
  <c r="H277" i="4"/>
  <c r="I277" i="4"/>
  <c r="K277" i="4"/>
  <c r="L277" i="4" s="1"/>
  <c r="I255" i="4"/>
  <c r="H255" i="4"/>
  <c r="K255" i="4"/>
  <c r="L255" i="4" s="1"/>
  <c r="H302" i="4"/>
  <c r="I302" i="4"/>
  <c r="K302" i="4"/>
  <c r="L302" i="4" s="1"/>
  <c r="I258" i="4"/>
  <c r="H258" i="4"/>
  <c r="K258" i="4"/>
  <c r="L258" i="4" s="1"/>
  <c r="I240" i="4"/>
  <c r="H240" i="4"/>
  <c r="K240" i="4"/>
  <c r="L240" i="4" s="1"/>
  <c r="I231" i="4"/>
  <c r="H231" i="4"/>
  <c r="K231" i="4"/>
  <c r="L231" i="4" s="1"/>
  <c r="I219" i="4"/>
  <c r="H219" i="4"/>
  <c r="K219" i="4"/>
  <c r="L219" i="4" s="1"/>
  <c r="H280" i="4"/>
  <c r="I280" i="4"/>
  <c r="K280" i="4"/>
  <c r="L280" i="4" s="1"/>
  <c r="H263" i="4"/>
  <c r="I263" i="4"/>
  <c r="K263" i="4"/>
  <c r="L263" i="4" s="1"/>
  <c r="H266" i="4"/>
  <c r="I266" i="4"/>
  <c r="K266" i="4"/>
  <c r="L266" i="4" s="1"/>
  <c r="I194" i="4"/>
  <c r="H194" i="4"/>
  <c r="K194" i="4"/>
  <c r="L194" i="4" s="1"/>
  <c r="H300" i="4"/>
  <c r="I300" i="4"/>
  <c r="K300" i="4"/>
  <c r="L300" i="4" s="1"/>
  <c r="I253" i="4"/>
  <c r="H253" i="4"/>
  <c r="K253" i="4"/>
  <c r="L253" i="4" s="1"/>
  <c r="I250" i="4"/>
  <c r="H250" i="4"/>
  <c r="K250" i="4"/>
  <c r="L250" i="4" s="1"/>
  <c r="I223" i="4"/>
  <c r="H223" i="4"/>
  <c r="K223" i="4"/>
  <c r="L223" i="4" s="1"/>
  <c r="I299" i="4"/>
  <c r="H299" i="4"/>
  <c r="K299" i="4"/>
  <c r="L299" i="4" s="1"/>
  <c r="I307" i="4"/>
  <c r="H307" i="4"/>
  <c r="K307" i="4"/>
  <c r="L307" i="4" s="1"/>
  <c r="I295" i="4"/>
  <c r="H295" i="4"/>
  <c r="K295" i="4"/>
  <c r="L295" i="4" s="1"/>
  <c r="H290" i="4"/>
  <c r="I290" i="4"/>
  <c r="K290" i="4"/>
  <c r="L290" i="4" s="1"/>
  <c r="I187" i="4"/>
  <c r="H187" i="4"/>
  <c r="K187" i="4"/>
  <c r="L187" i="4" s="1"/>
  <c r="H192" i="4"/>
  <c r="I192" i="4"/>
  <c r="K192" i="4"/>
  <c r="L192" i="4" s="1"/>
  <c r="I196" i="4"/>
  <c r="H196" i="4"/>
  <c r="K196" i="4"/>
  <c r="L196" i="4" s="1"/>
  <c r="I270" i="4"/>
  <c r="H270" i="4"/>
  <c r="K270" i="4"/>
  <c r="L270" i="4" s="1"/>
  <c r="H171" i="4"/>
  <c r="I171" i="4"/>
  <c r="K171" i="4"/>
  <c r="L171" i="4" s="1"/>
  <c r="I311" i="4"/>
  <c r="H311" i="4"/>
  <c r="K311" i="4"/>
  <c r="L311" i="4" s="1"/>
  <c r="I262" i="4"/>
  <c r="H262" i="4"/>
  <c r="K262" i="4"/>
  <c r="L262" i="4" s="1"/>
  <c r="I180" i="4"/>
  <c r="H180" i="4"/>
  <c r="K180" i="4"/>
  <c r="L180" i="4" s="1"/>
  <c r="I225" i="4"/>
  <c r="H225" i="4"/>
  <c r="K225" i="4"/>
  <c r="L225" i="4" s="1"/>
  <c r="M185" i="4"/>
  <c r="I216" i="4"/>
  <c r="H216" i="4"/>
  <c r="K216" i="4"/>
  <c r="L216" i="4" s="1"/>
  <c r="H200" i="4"/>
  <c r="I200" i="4"/>
  <c r="K200" i="4"/>
  <c r="L200" i="4" s="1"/>
  <c r="I289" i="4"/>
  <c r="H289" i="4"/>
  <c r="K289" i="4"/>
  <c r="L289" i="4" s="1"/>
  <c r="H232" i="4"/>
  <c r="I232" i="4"/>
  <c r="K232" i="4"/>
  <c r="L232" i="4" s="1"/>
  <c r="H292" i="4"/>
  <c r="I292" i="4"/>
  <c r="K292" i="4"/>
  <c r="L292" i="4" s="1"/>
  <c r="I287" i="4"/>
  <c r="H287" i="4"/>
  <c r="K287" i="4"/>
  <c r="L287" i="4" s="1"/>
  <c r="H309" i="4"/>
  <c r="I309" i="4"/>
  <c r="K309" i="4"/>
  <c r="L309" i="4" s="1"/>
  <c r="I218" i="4"/>
  <c r="H218" i="4"/>
  <c r="K218" i="4"/>
  <c r="L218" i="4" s="1"/>
  <c r="M169" i="4"/>
  <c r="I208" i="4"/>
  <c r="H208" i="4"/>
  <c r="K208" i="4"/>
  <c r="L208" i="4" s="1"/>
  <c r="N316" i="4"/>
  <c r="I226" i="4"/>
  <c r="H226" i="4"/>
  <c r="K226" i="4"/>
  <c r="L226" i="4" s="1"/>
  <c r="I215" i="4"/>
  <c r="H215" i="4"/>
  <c r="K215" i="4"/>
  <c r="L215" i="4" s="1"/>
  <c r="I237" i="4"/>
  <c r="H237" i="4"/>
  <c r="K237" i="4"/>
  <c r="L237" i="4" s="1"/>
  <c r="I206" i="4"/>
  <c r="H206" i="4"/>
  <c r="K206" i="4"/>
  <c r="L206" i="4" s="1"/>
  <c r="I312" i="4"/>
  <c r="H312" i="4"/>
  <c r="K312" i="4"/>
  <c r="L312" i="4" s="1"/>
  <c r="H272" i="4"/>
  <c r="I272" i="4"/>
  <c r="K272" i="4"/>
  <c r="L272" i="4" s="1"/>
  <c r="I238" i="4"/>
  <c r="H238" i="4"/>
  <c r="K238" i="4"/>
  <c r="L238" i="4" s="1"/>
  <c r="H308" i="4"/>
  <c r="I308" i="4"/>
  <c r="K308" i="4"/>
  <c r="L308" i="4" s="1"/>
  <c r="I244" i="4"/>
  <c r="H244" i="4"/>
  <c r="K244" i="4"/>
  <c r="L244" i="4" s="1"/>
  <c r="I257" i="4"/>
  <c r="H257" i="4"/>
  <c r="K257" i="4"/>
  <c r="L257" i="4" s="1"/>
  <c r="H288" i="4"/>
  <c r="I288" i="4"/>
  <c r="K288" i="4"/>
  <c r="L288" i="4" s="1"/>
  <c r="I285" i="4"/>
  <c r="H285" i="4"/>
  <c r="K285" i="4"/>
  <c r="L285" i="4" s="1"/>
  <c r="I268" i="4"/>
  <c r="H268" i="4"/>
  <c r="K268" i="4"/>
  <c r="L268" i="4" s="1"/>
  <c r="I247" i="4"/>
  <c r="H247" i="4"/>
  <c r="K247" i="4"/>
  <c r="L247" i="4" s="1"/>
  <c r="I211" i="4"/>
  <c r="H211" i="4"/>
  <c r="K211" i="4"/>
  <c r="L211" i="4" s="1"/>
  <c r="H306" i="4"/>
  <c r="I306" i="4"/>
  <c r="K306" i="4"/>
  <c r="L306" i="4" s="1"/>
  <c r="I259" i="4"/>
  <c r="H259" i="4"/>
  <c r="K259" i="4"/>
  <c r="L259" i="4" s="1"/>
  <c r="H261" i="4"/>
  <c r="Q261" i="4" s="1"/>
  <c r="I261" i="4"/>
  <c r="K261" i="4"/>
  <c r="L261" i="4" s="1"/>
  <c r="I233" i="4"/>
  <c r="H233" i="4"/>
  <c r="K233" i="4"/>
  <c r="L233" i="4" s="1"/>
  <c r="I199" i="4"/>
  <c r="H199" i="4"/>
  <c r="K199" i="4"/>
  <c r="L199" i="4" s="1"/>
  <c r="H276" i="4"/>
  <c r="I276" i="4"/>
  <c r="K276" i="4"/>
  <c r="L276" i="4" s="1"/>
  <c r="H282" i="4"/>
  <c r="I282" i="4"/>
  <c r="K282" i="4"/>
  <c r="L282" i="4" s="1"/>
  <c r="I303" i="4"/>
  <c r="H303" i="4"/>
  <c r="K303" i="4"/>
  <c r="L303" i="4" s="1"/>
  <c r="I291" i="4"/>
  <c r="H291" i="4"/>
  <c r="K291" i="4"/>
  <c r="L291" i="4" s="1"/>
  <c r="H188" i="4"/>
  <c r="I188" i="4"/>
  <c r="K188" i="4"/>
  <c r="L188" i="4" s="1"/>
  <c r="M177" i="4"/>
  <c r="H317" i="4"/>
  <c r="I317" i="4"/>
  <c r="K317" i="4"/>
  <c r="L317" i="4" s="1"/>
  <c r="I275" i="4"/>
  <c r="H275" i="4"/>
  <c r="K275" i="4"/>
  <c r="L275" i="4" s="1"/>
  <c r="H181" i="4"/>
  <c r="I181" i="4"/>
  <c r="K181" i="4"/>
  <c r="L181" i="4" s="1"/>
  <c r="H189" i="4"/>
  <c r="I189" i="4"/>
  <c r="K189" i="4"/>
  <c r="L189" i="4" s="1"/>
  <c r="I186" i="4"/>
  <c r="H186" i="4"/>
  <c r="K186" i="4"/>
  <c r="L186" i="4" s="1"/>
  <c r="I178" i="4"/>
  <c r="H178" i="4"/>
  <c r="K178" i="4"/>
  <c r="L178" i="4" s="1"/>
  <c r="I182" i="4"/>
  <c r="H182" i="4"/>
  <c r="K182" i="4"/>
  <c r="L182" i="4" s="1"/>
  <c r="M172" i="4"/>
  <c r="M175" i="4"/>
  <c r="I314" i="4"/>
  <c r="H314" i="4"/>
  <c r="K314" i="4"/>
  <c r="L314" i="4" s="1"/>
  <c r="I248" i="4"/>
  <c r="H248" i="4"/>
  <c r="K248" i="4"/>
  <c r="L248" i="4" s="1"/>
  <c r="I239" i="4"/>
  <c r="H239" i="4"/>
  <c r="K239" i="4"/>
  <c r="L239" i="4" s="1"/>
  <c r="I251" i="4"/>
  <c r="H251" i="4"/>
  <c r="K251" i="4"/>
  <c r="L251" i="4" s="1"/>
  <c r="I265" i="4"/>
  <c r="H265" i="4"/>
  <c r="K265" i="4"/>
  <c r="L265" i="4" s="1"/>
  <c r="H298" i="4"/>
  <c r="I298" i="4"/>
  <c r="K298" i="4"/>
  <c r="L298" i="4" s="1"/>
  <c r="H241" i="4"/>
  <c r="Q241" i="4" s="1"/>
  <c r="I241" i="4"/>
  <c r="K241" i="4"/>
  <c r="L241" i="4" s="1"/>
  <c r="I273" i="4"/>
  <c r="H273" i="4"/>
  <c r="K273" i="4"/>
  <c r="L273" i="4" s="1"/>
  <c r="H279" i="4"/>
  <c r="I279" i="4"/>
  <c r="K279" i="4"/>
  <c r="L279" i="4" s="1"/>
  <c r="I286" i="4"/>
  <c r="H286" i="4"/>
  <c r="K286" i="4"/>
  <c r="L286" i="4" s="1"/>
  <c r="I222" i="4"/>
  <c r="H222" i="4"/>
  <c r="K222" i="4"/>
  <c r="L222" i="4" s="1"/>
  <c r="I274" i="4"/>
  <c r="H274" i="4"/>
  <c r="K274" i="4"/>
  <c r="L274" i="4" s="1"/>
  <c r="I245" i="4"/>
  <c r="H245" i="4"/>
  <c r="K245" i="4"/>
  <c r="L245" i="4" s="1"/>
  <c r="H205" i="4"/>
  <c r="I205" i="4"/>
  <c r="K205" i="4"/>
  <c r="L205" i="4" s="1"/>
  <c r="I197" i="4"/>
  <c r="H197" i="4"/>
  <c r="K197" i="4"/>
  <c r="L197" i="4" s="1"/>
  <c r="I246" i="4"/>
  <c r="H246" i="4"/>
  <c r="K246" i="4"/>
  <c r="L246" i="4" s="1"/>
  <c r="I315" i="4"/>
  <c r="H315" i="4"/>
  <c r="K315" i="4"/>
  <c r="L315" i="4" s="1"/>
  <c r="I167" i="4"/>
  <c r="H167" i="4"/>
  <c r="K167" i="4"/>
  <c r="I252" i="4"/>
  <c r="H252" i="4"/>
  <c r="K252" i="4"/>
  <c r="L252" i="4" s="1"/>
  <c r="I174" i="4"/>
  <c r="H174" i="4"/>
  <c r="K174" i="4"/>
  <c r="L174" i="4" s="1"/>
  <c r="I269" i="4"/>
  <c r="H269" i="4"/>
  <c r="K269" i="4"/>
  <c r="L269" i="4" s="1"/>
  <c r="I202" i="4"/>
  <c r="H202" i="4"/>
  <c r="K202" i="4"/>
  <c r="L202" i="4" s="1"/>
  <c r="H176" i="4"/>
  <c r="I176" i="4"/>
  <c r="K176" i="4"/>
  <c r="L176" i="4" s="1"/>
  <c r="H271" i="4"/>
  <c r="I271" i="4"/>
  <c r="K271" i="4"/>
  <c r="L271" i="4" s="1"/>
  <c r="H168" i="4"/>
  <c r="I168" i="4"/>
  <c r="K168" i="4"/>
  <c r="L168" i="4" s="1"/>
  <c r="I267" i="4"/>
  <c r="H267" i="4"/>
  <c r="K267" i="4"/>
  <c r="L267" i="4" s="1"/>
  <c r="I236" i="4"/>
  <c r="H236" i="4"/>
  <c r="K236" i="4"/>
  <c r="L236" i="4" s="1"/>
  <c r="I234" i="4"/>
  <c r="H234" i="4"/>
  <c r="K234" i="4"/>
  <c r="L234" i="4" s="1"/>
  <c r="K184" i="4"/>
  <c r="L184" i="4" s="1"/>
  <c r="I184" i="4"/>
  <c r="H184" i="4"/>
  <c r="I310" i="4"/>
  <c r="H310" i="4"/>
  <c r="K310" i="4"/>
  <c r="L310" i="4" s="1"/>
  <c r="H304" i="4"/>
  <c r="I304" i="4"/>
  <c r="K304" i="4"/>
  <c r="L304" i="4" s="1"/>
  <c r="H254" i="4"/>
  <c r="I254" i="4"/>
  <c r="K254" i="4"/>
  <c r="L254" i="4" s="1"/>
  <c r="H297" i="4"/>
  <c r="I297" i="4"/>
  <c r="K297" i="4"/>
  <c r="L297" i="4" s="1"/>
  <c r="H284" i="4"/>
  <c r="Q284" i="4" s="1"/>
  <c r="I284" i="4"/>
  <c r="K284" i="4"/>
  <c r="L284" i="4" s="1"/>
  <c r="I243" i="4"/>
  <c r="H243" i="4"/>
  <c r="K243" i="4"/>
  <c r="L243" i="4" s="1"/>
  <c r="H281" i="4"/>
  <c r="I281" i="4"/>
  <c r="K281" i="4"/>
  <c r="L281" i="4" s="1"/>
  <c r="H242" i="4"/>
  <c r="I242" i="4"/>
  <c r="K242" i="4"/>
  <c r="L242" i="4" s="1"/>
  <c r="H293" i="4"/>
  <c r="I293" i="4"/>
  <c r="K293" i="4"/>
  <c r="L293" i="4" s="1"/>
  <c r="H305" i="4"/>
  <c r="I305" i="4"/>
  <c r="K305" i="4"/>
  <c r="L305" i="4" s="1"/>
  <c r="I283" i="4"/>
  <c r="H283" i="4"/>
  <c r="K283" i="4"/>
  <c r="L283" i="4" s="1"/>
  <c r="I278" i="4"/>
  <c r="H278" i="4"/>
  <c r="K278" i="4"/>
  <c r="L278" i="4" s="1"/>
  <c r="I301" i="4"/>
  <c r="H301" i="4"/>
  <c r="K301" i="4"/>
  <c r="L301" i="4" s="1"/>
  <c r="N221" i="4"/>
  <c r="I179" i="4"/>
  <c r="H179" i="4"/>
  <c r="K179" i="4"/>
  <c r="L179" i="4" s="1"/>
  <c r="I195" i="4"/>
  <c r="H195" i="4"/>
  <c r="K195" i="4"/>
  <c r="L195" i="4" s="1"/>
  <c r="K229" i="4"/>
  <c r="L229" i="4" s="1"/>
  <c r="I229" i="4"/>
  <c r="J228" i="4" s="1"/>
  <c r="H229" i="4"/>
  <c r="H193" i="4"/>
  <c r="I193" i="4"/>
  <c r="K193" i="4"/>
  <c r="L193" i="4" s="1"/>
  <c r="I191" i="4"/>
  <c r="H191" i="4"/>
  <c r="K191" i="4"/>
  <c r="L191" i="4" s="1"/>
  <c r="K213" i="4"/>
  <c r="L213" i="4" s="1"/>
  <c r="I213" i="4"/>
  <c r="H213" i="4"/>
  <c r="M170" i="4"/>
  <c r="H227" i="4"/>
  <c r="I227" i="4"/>
  <c r="K227" i="4"/>
  <c r="L227" i="4" s="1"/>
  <c r="N214" i="4"/>
  <c r="I209" i="4"/>
  <c r="H209" i="4"/>
  <c r="K209" i="4"/>
  <c r="L209" i="4" s="1"/>
  <c r="I203" i="4"/>
  <c r="H203" i="4"/>
  <c r="K203" i="4"/>
  <c r="L203" i="4" s="1"/>
  <c r="P167" i="4" l="1"/>
  <c r="N249" i="4"/>
  <c r="O249" i="4"/>
  <c r="J355" i="4"/>
  <c r="N190" i="4"/>
  <c r="N172" i="4"/>
  <c r="L172" i="4"/>
  <c r="O169" i="4"/>
  <c r="L169" i="4"/>
  <c r="N212" i="4"/>
  <c r="L212" i="4"/>
  <c r="O175" i="4"/>
  <c r="L175" i="4"/>
  <c r="N230" i="4"/>
  <c r="L230" i="4"/>
  <c r="N228" i="4"/>
  <c r="L228" i="4"/>
  <c r="N201" i="4"/>
  <c r="L201" i="4"/>
  <c r="N217" i="4"/>
  <c r="L217" i="4"/>
  <c r="N170" i="4"/>
  <c r="L170" i="4"/>
  <c r="N185" i="4"/>
  <c r="L185" i="4"/>
  <c r="J348" i="4"/>
  <c r="J322" i="4"/>
  <c r="J353" i="4"/>
  <c r="J350" i="4"/>
  <c r="J364" i="4"/>
  <c r="O177" i="4"/>
  <c r="J320" i="4"/>
  <c r="J357" i="4"/>
  <c r="J330" i="4"/>
  <c r="P301" i="4"/>
  <c r="Q301" i="4"/>
  <c r="P297" i="4"/>
  <c r="Q297" i="4"/>
  <c r="P310" i="4"/>
  <c r="Q310" i="4"/>
  <c r="P267" i="4"/>
  <c r="Q267" i="4"/>
  <c r="P168" i="4"/>
  <c r="Q168" i="4"/>
  <c r="Q167" i="4"/>
  <c r="P286" i="4"/>
  <c r="Q286" i="4"/>
  <c r="P279" i="4"/>
  <c r="Q279" i="4"/>
  <c r="P248" i="4"/>
  <c r="Q248" i="4"/>
  <c r="P182" i="4"/>
  <c r="Q182" i="4"/>
  <c r="P268" i="4"/>
  <c r="Q268" i="4"/>
  <c r="P312" i="4"/>
  <c r="Q312" i="4"/>
  <c r="P289" i="4"/>
  <c r="Q289" i="4"/>
  <c r="P200" i="4"/>
  <c r="Q200" i="4"/>
  <c r="P290" i="4"/>
  <c r="Q290" i="4"/>
  <c r="P258" i="4"/>
  <c r="Q258" i="4"/>
  <c r="P302" i="4"/>
  <c r="Q302" i="4"/>
  <c r="P204" i="4"/>
  <c r="Q204" i="4"/>
  <c r="O230" i="4"/>
  <c r="Q230" i="4"/>
  <c r="P213" i="4"/>
  <c r="Q213" i="4"/>
  <c r="P191" i="4"/>
  <c r="Q191" i="4"/>
  <c r="P193" i="4"/>
  <c r="Q193" i="4"/>
  <c r="P293" i="4"/>
  <c r="Q293" i="4"/>
  <c r="P236" i="4"/>
  <c r="Q236" i="4"/>
  <c r="P252" i="4"/>
  <c r="Q252" i="4"/>
  <c r="P222" i="4"/>
  <c r="Q222" i="4"/>
  <c r="P188" i="4"/>
  <c r="Q188" i="4"/>
  <c r="P257" i="4"/>
  <c r="Q257" i="4"/>
  <c r="P208" i="4"/>
  <c r="Q208" i="4"/>
  <c r="P218" i="4"/>
  <c r="Q218" i="4"/>
  <c r="P309" i="4"/>
  <c r="Q309" i="4"/>
  <c r="P192" i="4"/>
  <c r="Q192" i="4"/>
  <c r="P307" i="4"/>
  <c r="Q307" i="4"/>
  <c r="P280" i="4"/>
  <c r="Q280" i="4"/>
  <c r="P294" i="4"/>
  <c r="Q294" i="4"/>
  <c r="P221" i="4"/>
  <c r="Q221" i="4"/>
  <c r="P173" i="4"/>
  <c r="Q173" i="4"/>
  <c r="P283" i="4"/>
  <c r="Q283" i="4"/>
  <c r="P305" i="4"/>
  <c r="Q305" i="4"/>
  <c r="P304" i="4"/>
  <c r="Q304" i="4"/>
  <c r="P184" i="4"/>
  <c r="Q184" i="4"/>
  <c r="P234" i="4"/>
  <c r="Q234" i="4"/>
  <c r="P176" i="4"/>
  <c r="Q176" i="4"/>
  <c r="P174" i="4"/>
  <c r="Q174" i="4"/>
  <c r="P246" i="4"/>
  <c r="Q246" i="4"/>
  <c r="P274" i="4"/>
  <c r="Q274" i="4"/>
  <c r="P273" i="4"/>
  <c r="Q273" i="4"/>
  <c r="P251" i="4"/>
  <c r="Q251" i="4"/>
  <c r="P186" i="4"/>
  <c r="Q186" i="4"/>
  <c r="P181" i="4"/>
  <c r="Q181" i="4"/>
  <c r="P303" i="4"/>
  <c r="Q303" i="4"/>
  <c r="P282" i="4"/>
  <c r="Q282" i="4"/>
  <c r="P233" i="4"/>
  <c r="Q233" i="4"/>
  <c r="P211" i="4"/>
  <c r="Q211" i="4"/>
  <c r="P238" i="4"/>
  <c r="Q238" i="4"/>
  <c r="P272" i="4"/>
  <c r="Q272" i="4"/>
  <c r="P237" i="4"/>
  <c r="Q237" i="4"/>
  <c r="P232" i="4"/>
  <c r="Q232" i="4"/>
  <c r="P216" i="4"/>
  <c r="Q216" i="4"/>
  <c r="P225" i="4"/>
  <c r="Q225" i="4"/>
  <c r="P270" i="4"/>
  <c r="Q270" i="4"/>
  <c r="P295" i="4"/>
  <c r="Q295" i="4"/>
  <c r="P250" i="4"/>
  <c r="Q250" i="4"/>
  <c r="P263" i="4"/>
  <c r="Q263" i="4"/>
  <c r="P231" i="4"/>
  <c r="Q231" i="4"/>
  <c r="P255" i="4"/>
  <c r="Q255" i="4"/>
  <c r="P277" i="4"/>
  <c r="Q277" i="4"/>
  <c r="P316" i="4"/>
  <c r="Q316" i="4"/>
  <c r="P242" i="4"/>
  <c r="Q242" i="4"/>
  <c r="P202" i="4"/>
  <c r="Q202" i="4"/>
  <c r="P275" i="4"/>
  <c r="Q275" i="4"/>
  <c r="P317" i="4"/>
  <c r="Q317" i="4"/>
  <c r="P259" i="4"/>
  <c r="Q259" i="4"/>
  <c r="P306" i="4"/>
  <c r="Q306" i="4"/>
  <c r="P244" i="4"/>
  <c r="Q244" i="4"/>
  <c r="P308" i="4"/>
  <c r="Q308" i="4"/>
  <c r="P226" i="4"/>
  <c r="Q226" i="4"/>
  <c r="P262" i="4"/>
  <c r="Q262" i="4"/>
  <c r="P311" i="4"/>
  <c r="Q311" i="4"/>
  <c r="P171" i="4"/>
  <c r="Q171" i="4"/>
  <c r="P299" i="4"/>
  <c r="Q299" i="4"/>
  <c r="P198" i="4"/>
  <c r="Q198" i="4"/>
  <c r="P224" i="4"/>
  <c r="Q224" i="4"/>
  <c r="P313" i="4"/>
  <c r="Q313" i="4"/>
  <c r="P220" i="4"/>
  <c r="Q220" i="4"/>
  <c r="P260" i="4"/>
  <c r="Q260" i="4"/>
  <c r="P249" i="4"/>
  <c r="Q249" i="4"/>
  <c r="P228" i="4"/>
  <c r="Q228" i="4"/>
  <c r="P209" i="4"/>
  <c r="Q209" i="4"/>
  <c r="O228" i="4"/>
  <c r="P243" i="4"/>
  <c r="Q243" i="4"/>
  <c r="P197" i="4"/>
  <c r="Q197" i="4"/>
  <c r="P205" i="4"/>
  <c r="Q205" i="4"/>
  <c r="P298" i="4"/>
  <c r="Q298" i="4"/>
  <c r="P239" i="4"/>
  <c r="Q239" i="4"/>
  <c r="P276" i="4"/>
  <c r="Q276" i="4"/>
  <c r="P247" i="4"/>
  <c r="Q247" i="4"/>
  <c r="P215" i="4"/>
  <c r="Q215" i="4"/>
  <c r="P180" i="4"/>
  <c r="Q180" i="4"/>
  <c r="P196" i="4"/>
  <c r="Q196" i="4"/>
  <c r="P253" i="4"/>
  <c r="Q253" i="4"/>
  <c r="P300" i="4"/>
  <c r="Q300" i="4"/>
  <c r="P240" i="4"/>
  <c r="Q240" i="4"/>
  <c r="P235" i="4"/>
  <c r="Q235" i="4"/>
  <c r="P203" i="4"/>
  <c r="Q203" i="4"/>
  <c r="P229" i="4"/>
  <c r="Q229" i="4"/>
  <c r="P195" i="4"/>
  <c r="Q195" i="4"/>
  <c r="M249" i="4"/>
  <c r="P227" i="4"/>
  <c r="Q227" i="4"/>
  <c r="P179" i="4"/>
  <c r="Q179" i="4"/>
  <c r="O173" i="4"/>
  <c r="P278" i="4"/>
  <c r="Q278" i="4"/>
  <c r="P281" i="4"/>
  <c r="Q281" i="4"/>
  <c r="P254" i="4"/>
  <c r="Q254" i="4"/>
  <c r="J183" i="4"/>
  <c r="P271" i="4"/>
  <c r="Q271" i="4"/>
  <c r="P269" i="4"/>
  <c r="Q269" i="4"/>
  <c r="P315" i="4"/>
  <c r="Q315" i="4"/>
  <c r="P245" i="4"/>
  <c r="Q245" i="4"/>
  <c r="P265" i="4"/>
  <c r="Q265" i="4"/>
  <c r="P314" i="4"/>
  <c r="Q314" i="4"/>
  <c r="P178" i="4"/>
  <c r="Q178" i="4"/>
  <c r="P189" i="4"/>
  <c r="Q189" i="4"/>
  <c r="P291" i="4"/>
  <c r="Q291" i="4"/>
  <c r="P199" i="4"/>
  <c r="Q199" i="4"/>
  <c r="P285" i="4"/>
  <c r="Q285" i="4"/>
  <c r="P288" i="4"/>
  <c r="Q288" i="4"/>
  <c r="P206" i="4"/>
  <c r="Q206" i="4"/>
  <c r="P287" i="4"/>
  <c r="Q287" i="4"/>
  <c r="P292" i="4"/>
  <c r="Q292" i="4"/>
  <c r="P187" i="4"/>
  <c r="Q187" i="4"/>
  <c r="P223" i="4"/>
  <c r="Q223" i="4"/>
  <c r="P194" i="4"/>
  <c r="Q194" i="4"/>
  <c r="P266" i="4"/>
  <c r="Q266" i="4"/>
  <c r="P219" i="4"/>
  <c r="Q219" i="4"/>
  <c r="P207" i="4"/>
  <c r="Q207" i="4"/>
  <c r="P264" i="4"/>
  <c r="Q264" i="4"/>
  <c r="P201" i="4"/>
  <c r="Q201" i="4"/>
  <c r="O210" i="4"/>
  <c r="Q210" i="4"/>
  <c r="P190" i="4"/>
  <c r="Q190" i="4"/>
  <c r="J340" i="4"/>
  <c r="J361" i="4"/>
  <c r="J325" i="4"/>
  <c r="J335" i="4"/>
  <c r="J328" i="4"/>
  <c r="J345" i="4"/>
  <c r="J342" i="4"/>
  <c r="N349" i="4"/>
  <c r="O341" i="4"/>
  <c r="P341" i="4"/>
  <c r="M341" i="4"/>
  <c r="N318" i="4"/>
  <c r="J354" i="4"/>
  <c r="M352" i="4"/>
  <c r="O352" i="4"/>
  <c r="P352" i="4"/>
  <c r="N348" i="4"/>
  <c r="M361" i="4"/>
  <c r="P361" i="4"/>
  <c r="O361" i="4"/>
  <c r="N324" i="4"/>
  <c r="N334" i="4"/>
  <c r="N357" i="4"/>
  <c r="N359" i="4"/>
  <c r="N325" i="4"/>
  <c r="M350" i="4"/>
  <c r="O350" i="4"/>
  <c r="P350" i="4"/>
  <c r="N332" i="4"/>
  <c r="O331" i="4"/>
  <c r="P331" i="4"/>
  <c r="M331" i="4"/>
  <c r="P333" i="4"/>
  <c r="O333" i="4"/>
  <c r="M333" i="4"/>
  <c r="N345" i="4"/>
  <c r="J365" i="4"/>
  <c r="M322" i="4"/>
  <c r="O322" i="4"/>
  <c r="P322" i="4"/>
  <c r="N340" i="4"/>
  <c r="M320" i="4"/>
  <c r="P320" i="4"/>
  <c r="O320" i="4"/>
  <c r="J336" i="4"/>
  <c r="N330" i="4"/>
  <c r="M328" i="4"/>
  <c r="P328" i="4"/>
  <c r="O328" i="4"/>
  <c r="N364" i="4"/>
  <c r="O338" i="4"/>
  <c r="M338" i="4"/>
  <c r="P338" i="4"/>
  <c r="N335" i="4"/>
  <c r="O356" i="4"/>
  <c r="M356" i="4"/>
  <c r="P356" i="4"/>
  <c r="N354" i="4"/>
  <c r="J343" i="4"/>
  <c r="M349" i="4"/>
  <c r="O349" i="4"/>
  <c r="P349" i="4"/>
  <c r="N341" i="4"/>
  <c r="J366" i="4"/>
  <c r="J367" i="4"/>
  <c r="N355" i="4"/>
  <c r="N352" i="4"/>
  <c r="J360" i="4"/>
  <c r="J323" i="4"/>
  <c r="J356" i="4"/>
  <c r="O359" i="4"/>
  <c r="P359" i="4"/>
  <c r="M359" i="4"/>
  <c r="J326" i="4"/>
  <c r="N365" i="4"/>
  <c r="N350" i="4"/>
  <c r="N353" i="4"/>
  <c r="N333" i="4"/>
  <c r="P363" i="4"/>
  <c r="M363" i="4"/>
  <c r="O363" i="4"/>
  <c r="N362" i="4"/>
  <c r="N366" i="4"/>
  <c r="P360" i="4"/>
  <c r="M360" i="4"/>
  <c r="O360" i="4"/>
  <c r="M326" i="4"/>
  <c r="O326" i="4"/>
  <c r="P326" i="4"/>
  <c r="N336" i="4"/>
  <c r="J346" i="4"/>
  <c r="J319" i="4"/>
  <c r="N337" i="4"/>
  <c r="J341" i="4"/>
  <c r="N328" i="4"/>
  <c r="N329" i="4"/>
  <c r="J338" i="4"/>
  <c r="N338" i="4"/>
  <c r="N346" i="4"/>
  <c r="J318" i="4"/>
  <c r="N323" i="4"/>
  <c r="M335" i="4"/>
  <c r="O335" i="4"/>
  <c r="P335" i="4"/>
  <c r="N356" i="4"/>
  <c r="M351" i="4"/>
  <c r="O351" i="4"/>
  <c r="P351" i="4"/>
  <c r="N344" i="4"/>
  <c r="P367" i="4"/>
  <c r="O367" i="4"/>
  <c r="M367" i="4"/>
  <c r="M355" i="4"/>
  <c r="P355" i="4"/>
  <c r="O355" i="4"/>
  <c r="O348" i="4"/>
  <c r="P348" i="4"/>
  <c r="M348" i="4"/>
  <c r="N321" i="4"/>
  <c r="N361" i="4"/>
  <c r="P334" i="4"/>
  <c r="M334" i="4"/>
  <c r="O334" i="4"/>
  <c r="N358" i="4"/>
  <c r="M357" i="4"/>
  <c r="O357" i="4"/>
  <c r="P357" i="4"/>
  <c r="P325" i="4"/>
  <c r="O325" i="4"/>
  <c r="M325" i="4"/>
  <c r="O327" i="4"/>
  <c r="M327" i="4"/>
  <c r="P327" i="4"/>
  <c r="O365" i="4"/>
  <c r="M365" i="4"/>
  <c r="P365" i="4"/>
  <c r="J331" i="4"/>
  <c r="M353" i="4"/>
  <c r="P353" i="4"/>
  <c r="O353" i="4"/>
  <c r="N331" i="4"/>
  <c r="J344" i="4"/>
  <c r="J362" i="4"/>
  <c r="M362" i="4"/>
  <c r="O362" i="4"/>
  <c r="P362" i="4"/>
  <c r="J321" i="4"/>
  <c r="J359" i="4"/>
  <c r="N326" i="4"/>
  <c r="J339" i="4"/>
  <c r="O347" i="4"/>
  <c r="M347" i="4"/>
  <c r="P347" i="4"/>
  <c r="N320" i="4"/>
  <c r="J329" i="4"/>
  <c r="N342" i="4"/>
  <c r="J327" i="4"/>
  <c r="M364" i="4"/>
  <c r="O364" i="4"/>
  <c r="P364" i="4"/>
  <c r="N339" i="4"/>
  <c r="J337" i="4"/>
  <c r="O343" i="4"/>
  <c r="P343" i="4"/>
  <c r="M343" i="4"/>
  <c r="M319" i="4"/>
  <c r="O319" i="4"/>
  <c r="P319" i="4"/>
  <c r="P323" i="4"/>
  <c r="O323" i="4"/>
  <c r="M323" i="4"/>
  <c r="J334" i="4"/>
  <c r="O354" i="4"/>
  <c r="M354" i="4"/>
  <c r="P354" i="4"/>
  <c r="N351" i="4"/>
  <c r="O344" i="4"/>
  <c r="M344" i="4"/>
  <c r="P344" i="4"/>
  <c r="O318" i="4"/>
  <c r="M318" i="4"/>
  <c r="P318" i="4"/>
  <c r="N367" i="4"/>
  <c r="J351" i="4"/>
  <c r="J347" i="4"/>
  <c r="P321" i="4"/>
  <c r="M321" i="4"/>
  <c r="O321" i="4"/>
  <c r="M324" i="4"/>
  <c r="O324" i="4"/>
  <c r="P324" i="4"/>
  <c r="J333" i="4"/>
  <c r="O358" i="4"/>
  <c r="M358" i="4"/>
  <c r="P358" i="4"/>
  <c r="J358" i="4"/>
  <c r="J324" i="4"/>
  <c r="N327" i="4"/>
  <c r="J349" i="4"/>
  <c r="P332" i="4"/>
  <c r="M332" i="4"/>
  <c r="O332" i="4"/>
  <c r="J352" i="4"/>
  <c r="J332" i="4"/>
  <c r="M345" i="4"/>
  <c r="O345" i="4"/>
  <c r="P345" i="4"/>
  <c r="N363" i="4"/>
  <c r="M366" i="4"/>
  <c r="O366" i="4"/>
  <c r="P366" i="4"/>
  <c r="N322" i="4"/>
  <c r="N360" i="4"/>
  <c r="M336" i="4"/>
  <c r="O336" i="4"/>
  <c r="P336" i="4"/>
  <c r="O340" i="4"/>
  <c r="M340" i="4"/>
  <c r="P340" i="4"/>
  <c r="N347" i="4"/>
  <c r="O337" i="4"/>
  <c r="M337" i="4"/>
  <c r="P337" i="4"/>
  <c r="M330" i="4"/>
  <c r="O330" i="4"/>
  <c r="P330" i="4"/>
  <c r="M342" i="4"/>
  <c r="P342" i="4"/>
  <c r="O342" i="4"/>
  <c r="P329" i="4"/>
  <c r="O329" i="4"/>
  <c r="M329" i="4"/>
  <c r="J363" i="4"/>
  <c r="O339" i="4"/>
  <c r="P339" i="4"/>
  <c r="M339" i="4"/>
  <c r="O346" i="4"/>
  <c r="P346" i="4"/>
  <c r="M346" i="4"/>
  <c r="N343" i="4"/>
  <c r="N319" i="4"/>
  <c r="O190" i="4"/>
  <c r="J210" i="4"/>
  <c r="N177" i="4"/>
  <c r="O185" i="4"/>
  <c r="M190" i="4"/>
  <c r="J258" i="4"/>
  <c r="O316" i="4"/>
  <c r="M221" i="4"/>
  <c r="M316" i="4"/>
  <c r="O170" i="4"/>
  <c r="J190" i="4"/>
  <c r="M235" i="4"/>
  <c r="J185" i="4"/>
  <c r="O235" i="4"/>
  <c r="J167" i="4"/>
  <c r="O212" i="4"/>
  <c r="P212" i="4"/>
  <c r="M210" i="4"/>
  <c r="P210" i="4"/>
  <c r="M256" i="4"/>
  <c r="P256" i="4"/>
  <c r="M230" i="4"/>
  <c r="P230" i="4"/>
  <c r="M284" i="4"/>
  <c r="P284" i="4"/>
  <c r="M296" i="4"/>
  <c r="P296" i="4"/>
  <c r="M217" i="4"/>
  <c r="P217" i="4"/>
  <c r="N169" i="4"/>
  <c r="M241" i="4"/>
  <c r="P241" i="4"/>
  <c r="M261" i="4"/>
  <c r="P261" i="4"/>
  <c r="O183" i="4"/>
  <c r="P183" i="4"/>
  <c r="M214" i="4"/>
  <c r="P214" i="4"/>
  <c r="J208" i="4"/>
  <c r="M212" i="4"/>
  <c r="O172" i="4"/>
  <c r="J170" i="4"/>
  <c r="J235" i="4"/>
  <c r="J270" i="4"/>
  <c r="J216" i="4"/>
  <c r="J287" i="4"/>
  <c r="J233" i="4"/>
  <c r="J248" i="4"/>
  <c r="J290" i="4"/>
  <c r="J196" i="4"/>
  <c r="O217" i="4"/>
  <c r="M183" i="4"/>
  <c r="O214" i="4"/>
  <c r="J226" i="4"/>
  <c r="J304" i="4"/>
  <c r="O201" i="4"/>
  <c r="N175" i="4"/>
  <c r="J315" i="4"/>
  <c r="J212" i="4"/>
  <c r="J309" i="4"/>
  <c r="J238" i="4"/>
  <c r="J173" i="4"/>
  <c r="J217" i="4"/>
  <c r="J169" i="4"/>
  <c r="J306" i="4"/>
  <c r="J252" i="4"/>
  <c r="J293" i="4"/>
  <c r="J255" i="4"/>
  <c r="J192" i="4"/>
  <c r="J300" i="4"/>
  <c r="J175" i="4"/>
  <c r="J200" i="4"/>
  <c r="J245" i="4"/>
  <c r="J221" i="4"/>
  <c r="J187" i="4"/>
  <c r="J198" i="4"/>
  <c r="J284" i="4"/>
  <c r="J214" i="4"/>
  <c r="J275" i="4"/>
  <c r="J181" i="4"/>
  <c r="J282" i="4"/>
  <c r="J241" i="4"/>
  <c r="J296" i="4"/>
  <c r="J313" i="4"/>
  <c r="J261" i="4"/>
  <c r="J265" i="4"/>
  <c r="J202" i="4"/>
  <c r="J273" i="4"/>
  <c r="J250" i="4"/>
  <c r="J178" i="4"/>
  <c r="J277" i="4"/>
  <c r="J268" i="4"/>
  <c r="J311" i="4"/>
  <c r="N229" i="4"/>
  <c r="O284" i="4"/>
  <c r="N284" i="4"/>
  <c r="M254" i="4"/>
  <c r="O254" i="4"/>
  <c r="N202" i="4"/>
  <c r="N245" i="4"/>
  <c r="M274" i="4"/>
  <c r="O274" i="4"/>
  <c r="J234" i="4"/>
  <c r="O273" i="4"/>
  <c r="M273" i="4"/>
  <c r="N314" i="4"/>
  <c r="N317" i="4"/>
  <c r="N257" i="4"/>
  <c r="O244" i="4"/>
  <c r="M244" i="4"/>
  <c r="M308" i="4"/>
  <c r="O308" i="4"/>
  <c r="N218" i="4"/>
  <c r="N225" i="4"/>
  <c r="O180" i="4"/>
  <c r="M180" i="4"/>
  <c r="N290" i="4"/>
  <c r="O295" i="4"/>
  <c r="M295" i="4"/>
  <c r="O250" i="4"/>
  <c r="M250" i="4"/>
  <c r="N302" i="4"/>
  <c r="N264" i="4"/>
  <c r="O227" i="4"/>
  <c r="M227" i="4"/>
  <c r="O191" i="4"/>
  <c r="M191" i="4"/>
  <c r="M193" i="4"/>
  <c r="O193" i="4"/>
  <c r="J182" i="4"/>
  <c r="M301" i="4"/>
  <c r="O301" i="4"/>
  <c r="J292" i="4"/>
  <c r="N243" i="4"/>
  <c r="J283" i="4"/>
  <c r="O297" i="4"/>
  <c r="M297" i="4"/>
  <c r="N304" i="4"/>
  <c r="M310" i="4"/>
  <c r="O310" i="4"/>
  <c r="N184" i="4"/>
  <c r="N236" i="4"/>
  <c r="O267" i="4"/>
  <c r="M267" i="4"/>
  <c r="O168" i="4"/>
  <c r="M168" i="4"/>
  <c r="N176" i="4"/>
  <c r="O202" i="4"/>
  <c r="M202" i="4"/>
  <c r="N252" i="4"/>
  <c r="N315" i="4"/>
  <c r="O246" i="4"/>
  <c r="M246" i="4"/>
  <c r="J189" i="4"/>
  <c r="N205" i="4"/>
  <c r="M245" i="4"/>
  <c r="O245" i="4"/>
  <c r="J227" i="4"/>
  <c r="N286" i="4"/>
  <c r="J278" i="4"/>
  <c r="J272" i="4"/>
  <c r="N298" i="4"/>
  <c r="M265" i="4"/>
  <c r="O265" i="4"/>
  <c r="N248" i="4"/>
  <c r="O314" i="4"/>
  <c r="M314" i="4"/>
  <c r="N182" i="4"/>
  <c r="M178" i="4"/>
  <c r="O178" i="4"/>
  <c r="N189" i="4"/>
  <c r="N275" i="4"/>
  <c r="J316" i="4"/>
  <c r="J317" i="4"/>
  <c r="M188" i="4"/>
  <c r="O188" i="4"/>
  <c r="N303" i="4"/>
  <c r="O276" i="4"/>
  <c r="M276" i="4"/>
  <c r="N233" i="4"/>
  <c r="J260" i="4"/>
  <c r="N211" i="4"/>
  <c r="M247" i="4"/>
  <c r="O247" i="4"/>
  <c r="J267" i="4"/>
  <c r="N288" i="4"/>
  <c r="M257" i="4"/>
  <c r="O257" i="4"/>
  <c r="J243" i="4"/>
  <c r="N238" i="4"/>
  <c r="J271" i="4"/>
  <c r="N312" i="4"/>
  <c r="O206" i="4"/>
  <c r="M206" i="4"/>
  <c r="J236" i="4"/>
  <c r="N226" i="4"/>
  <c r="M218" i="4"/>
  <c r="O218" i="4"/>
  <c r="N309" i="4"/>
  <c r="O287" i="4"/>
  <c r="M287" i="4"/>
  <c r="M292" i="4"/>
  <c r="O292" i="4"/>
  <c r="N289" i="4"/>
  <c r="J199" i="4"/>
  <c r="J215" i="4"/>
  <c r="M225" i="4"/>
  <c r="O225" i="4"/>
  <c r="J179" i="4"/>
  <c r="N311" i="4"/>
  <c r="J269" i="4"/>
  <c r="N192" i="4"/>
  <c r="M187" i="4"/>
  <c r="O187" i="4"/>
  <c r="J289" i="4"/>
  <c r="J294" i="4"/>
  <c r="N299" i="4"/>
  <c r="M223" i="4"/>
  <c r="O223" i="4"/>
  <c r="J249" i="4"/>
  <c r="N300" i="4"/>
  <c r="M194" i="4"/>
  <c r="O194" i="4"/>
  <c r="M266" i="4"/>
  <c r="O266" i="4"/>
  <c r="N280" i="4"/>
  <c r="M219" i="4"/>
  <c r="O219" i="4"/>
  <c r="J230" i="4"/>
  <c r="N258" i="4"/>
  <c r="J301" i="4"/>
  <c r="J254" i="4"/>
  <c r="N198" i="4"/>
  <c r="N313" i="4"/>
  <c r="J219" i="4"/>
  <c r="O207" i="4"/>
  <c r="M207" i="4"/>
  <c r="J203" i="4"/>
  <c r="O264" i="4"/>
  <c r="M264" i="4"/>
  <c r="N260" i="4"/>
  <c r="N301" i="4"/>
  <c r="M278" i="4"/>
  <c r="O278" i="4"/>
  <c r="N310" i="4"/>
  <c r="M269" i="4"/>
  <c r="O269" i="4"/>
  <c r="N279" i="4"/>
  <c r="N178" i="4"/>
  <c r="O186" i="4"/>
  <c r="M186" i="4"/>
  <c r="M181" i="4"/>
  <c r="O181" i="4"/>
  <c r="O261" i="4"/>
  <c r="N261" i="4"/>
  <c r="O259" i="4"/>
  <c r="M259" i="4"/>
  <c r="M306" i="4"/>
  <c r="O306" i="4"/>
  <c r="N272" i="4"/>
  <c r="N287" i="4"/>
  <c r="J291" i="4"/>
  <c r="M232" i="4"/>
  <c r="O232" i="4"/>
  <c r="N171" i="4"/>
  <c r="M270" i="4"/>
  <c r="O270" i="4"/>
  <c r="J195" i="4"/>
  <c r="N194" i="4"/>
  <c r="O263" i="4"/>
  <c r="M263" i="4"/>
  <c r="M231" i="4"/>
  <c r="O231" i="4"/>
  <c r="M255" i="4"/>
  <c r="O255" i="4"/>
  <c r="M277" i="4"/>
  <c r="O277" i="4"/>
  <c r="O224" i="4"/>
  <c r="M224" i="4"/>
  <c r="J206" i="4"/>
  <c r="N195" i="4"/>
  <c r="N209" i="4"/>
  <c r="J168" i="4"/>
  <c r="M229" i="4"/>
  <c r="O229" i="4"/>
  <c r="O195" i="4"/>
  <c r="M195" i="4"/>
  <c r="N271" i="4"/>
  <c r="N174" i="4"/>
  <c r="O252" i="4"/>
  <c r="M252" i="4"/>
  <c r="N167" i="4"/>
  <c r="L167" i="4"/>
  <c r="O315" i="4"/>
  <c r="M315" i="4"/>
  <c r="N197" i="4"/>
  <c r="J205" i="4"/>
  <c r="J204" i="4"/>
  <c r="J244" i="4"/>
  <c r="N222" i="4"/>
  <c r="J172" i="4"/>
  <c r="O286" i="4"/>
  <c r="M286" i="4"/>
  <c r="O279" i="4"/>
  <c r="M279" i="4"/>
  <c r="O241" i="4"/>
  <c r="N241" i="4"/>
  <c r="J297" i="4"/>
  <c r="J264" i="4"/>
  <c r="N239" i="4"/>
  <c r="O248" i="4"/>
  <c r="M248" i="4"/>
  <c r="J211" i="4"/>
  <c r="M182" i="4"/>
  <c r="O182" i="4"/>
  <c r="J177" i="4"/>
  <c r="J188" i="4"/>
  <c r="N181" i="4"/>
  <c r="M275" i="4"/>
  <c r="O275" i="4"/>
  <c r="M317" i="4"/>
  <c r="O317" i="4"/>
  <c r="N291" i="4"/>
  <c r="O303" i="4"/>
  <c r="M303" i="4"/>
  <c r="O282" i="4"/>
  <c r="M282" i="4"/>
  <c r="N199" i="4"/>
  <c r="M233" i="4"/>
  <c r="O233" i="4"/>
  <c r="N306" i="4"/>
  <c r="M211" i="4"/>
  <c r="O211" i="4"/>
  <c r="J246" i="4"/>
  <c r="N285" i="4"/>
  <c r="J256" i="4"/>
  <c r="N308" i="4"/>
  <c r="O238" i="4"/>
  <c r="M238" i="4"/>
  <c r="M272" i="4"/>
  <c r="O272" i="4"/>
  <c r="O312" i="4"/>
  <c r="M312" i="4"/>
  <c r="N215" i="4"/>
  <c r="O226" i="4"/>
  <c r="M226" i="4"/>
  <c r="N208" i="4"/>
  <c r="J308" i="4"/>
  <c r="J286" i="4"/>
  <c r="N232" i="4"/>
  <c r="O289" i="4"/>
  <c r="M289" i="4"/>
  <c r="O200" i="4"/>
  <c r="M200" i="4"/>
  <c r="J224" i="4"/>
  <c r="N262" i="4"/>
  <c r="O311" i="4"/>
  <c r="M311" i="4"/>
  <c r="M171" i="4"/>
  <c r="O171" i="4"/>
  <c r="N196" i="4"/>
  <c r="J191" i="4"/>
  <c r="J186" i="4"/>
  <c r="O290" i="4"/>
  <c r="M290" i="4"/>
  <c r="N307" i="4"/>
  <c r="O299" i="4"/>
  <c r="M299" i="4"/>
  <c r="J222" i="4"/>
  <c r="N253" i="4"/>
  <c r="J299" i="4"/>
  <c r="J193" i="4"/>
  <c r="N263" i="4"/>
  <c r="J279" i="4"/>
  <c r="J218" i="4"/>
  <c r="N240" i="4"/>
  <c r="O258" i="4"/>
  <c r="M258" i="4"/>
  <c r="O302" i="4"/>
  <c r="M302" i="4"/>
  <c r="N277" i="4"/>
  <c r="O198" i="4"/>
  <c r="M198" i="4"/>
  <c r="N224" i="4"/>
  <c r="O313" i="4"/>
  <c r="M313" i="4"/>
  <c r="M220" i="4"/>
  <c r="O220" i="4"/>
  <c r="N294" i="4"/>
  <c r="O204" i="4"/>
  <c r="M204" i="4"/>
  <c r="J263" i="4"/>
  <c r="O256" i="4"/>
  <c r="N256" i="4"/>
  <c r="O260" i="4"/>
  <c r="M260" i="4"/>
  <c r="M203" i="4"/>
  <c r="O203" i="4"/>
  <c r="N191" i="4"/>
  <c r="N293" i="4"/>
  <c r="M281" i="4"/>
  <c r="O281" i="4"/>
  <c r="N267" i="4"/>
  <c r="O271" i="4"/>
  <c r="M271" i="4"/>
  <c r="N246" i="4"/>
  <c r="N265" i="4"/>
  <c r="O251" i="4"/>
  <c r="M251" i="4"/>
  <c r="N282" i="4"/>
  <c r="N247" i="4"/>
  <c r="M268" i="4"/>
  <c r="O268" i="4"/>
  <c r="N206" i="4"/>
  <c r="O237" i="4"/>
  <c r="M237" i="4"/>
  <c r="J207" i="4"/>
  <c r="N200" i="4"/>
  <c r="M216" i="4"/>
  <c r="O216" i="4"/>
  <c r="J174" i="4"/>
  <c r="N187" i="4"/>
  <c r="N223" i="4"/>
  <c r="N219" i="4"/>
  <c r="J239" i="4"/>
  <c r="N220" i="4"/>
  <c r="J295" i="4"/>
  <c r="M213" i="4"/>
  <c r="O213" i="4"/>
  <c r="N305" i="4"/>
  <c r="O242" i="4"/>
  <c r="M242" i="4"/>
  <c r="N179" i="4"/>
  <c r="N283" i="4"/>
  <c r="O293" i="4"/>
  <c r="M293" i="4"/>
  <c r="N281" i="4"/>
  <c r="M243" i="4"/>
  <c r="O243" i="4"/>
  <c r="N254" i="4"/>
  <c r="J303" i="4"/>
  <c r="N234" i="4"/>
  <c r="M236" i="4"/>
  <c r="O236" i="4"/>
  <c r="J266" i="4"/>
  <c r="J201" i="4"/>
  <c r="N203" i="4"/>
  <c r="M209" i="4"/>
  <c r="O209" i="4"/>
  <c r="N227" i="4"/>
  <c r="N213" i="4"/>
  <c r="N193" i="4"/>
  <c r="J194" i="4"/>
  <c r="M179" i="4"/>
  <c r="O179" i="4"/>
  <c r="N278" i="4"/>
  <c r="O283" i="4"/>
  <c r="M283" i="4"/>
  <c r="O305" i="4"/>
  <c r="M305" i="4"/>
  <c r="N242" i="4"/>
  <c r="J281" i="4"/>
  <c r="J280" i="4"/>
  <c r="J242" i="4"/>
  <c r="N297" i="4"/>
  <c r="J253" i="4"/>
  <c r="M304" i="4"/>
  <c r="O304" i="4"/>
  <c r="O184" i="4"/>
  <c r="M184" i="4"/>
  <c r="M234" i="4"/>
  <c r="O234" i="4"/>
  <c r="N168" i="4"/>
  <c r="M176" i="4"/>
  <c r="O176" i="4"/>
  <c r="N269" i="4"/>
  <c r="M174" i="4"/>
  <c r="O174" i="4"/>
  <c r="J251" i="4"/>
  <c r="M167" i="4"/>
  <c r="O167" i="4"/>
  <c r="J314" i="4"/>
  <c r="J184" i="4"/>
  <c r="O197" i="4"/>
  <c r="M197" i="4"/>
  <c r="M205" i="4"/>
  <c r="O205" i="4"/>
  <c r="N274" i="4"/>
  <c r="O222" i="4"/>
  <c r="M222" i="4"/>
  <c r="J220" i="4"/>
  <c r="J285" i="4"/>
  <c r="N273" i="4"/>
  <c r="J240" i="4"/>
  <c r="M298" i="4"/>
  <c r="O298" i="4"/>
  <c r="N251" i="4"/>
  <c r="M239" i="4"/>
  <c r="O239" i="4"/>
  <c r="J247" i="4"/>
  <c r="J213" i="4"/>
  <c r="N186" i="4"/>
  <c r="M189" i="4"/>
  <c r="O189" i="4"/>
  <c r="J180" i="4"/>
  <c r="J274" i="4"/>
  <c r="J209" i="4"/>
  <c r="N188" i="4"/>
  <c r="O291" i="4"/>
  <c r="M291" i="4"/>
  <c r="J302" i="4"/>
  <c r="N276" i="4"/>
  <c r="O199" i="4"/>
  <c r="M199" i="4"/>
  <c r="J232" i="4"/>
  <c r="N259" i="4"/>
  <c r="J305" i="4"/>
  <c r="N268" i="4"/>
  <c r="O285" i="4"/>
  <c r="M285" i="4"/>
  <c r="M288" i="4"/>
  <c r="O288" i="4"/>
  <c r="N244" i="4"/>
  <c r="J307" i="4"/>
  <c r="J237" i="4"/>
  <c r="N237" i="4"/>
  <c r="O215" i="4"/>
  <c r="M215" i="4"/>
  <c r="J225" i="4"/>
  <c r="O208" i="4"/>
  <c r="M208" i="4"/>
  <c r="M309" i="4"/>
  <c r="O309" i="4"/>
  <c r="N292" i="4"/>
  <c r="J231" i="4"/>
  <c r="J288" i="4"/>
  <c r="N216" i="4"/>
  <c r="J171" i="4"/>
  <c r="N180" i="4"/>
  <c r="O262" i="4"/>
  <c r="M262" i="4"/>
  <c r="J229" i="4"/>
  <c r="J310" i="4"/>
  <c r="N270" i="4"/>
  <c r="M196" i="4"/>
  <c r="O196" i="4"/>
  <c r="O192" i="4"/>
  <c r="M192" i="4"/>
  <c r="J176" i="4"/>
  <c r="N295" i="4"/>
  <c r="O307" i="4"/>
  <c r="M307" i="4"/>
  <c r="J298" i="4"/>
  <c r="N250" i="4"/>
  <c r="M253" i="4"/>
  <c r="O253" i="4"/>
  <c r="M300" i="4"/>
  <c r="O300" i="4"/>
  <c r="N266" i="4"/>
  <c r="J262" i="4"/>
  <c r="M280" i="4"/>
  <c r="O280" i="4"/>
  <c r="N231" i="4"/>
  <c r="O240" i="4"/>
  <c r="M240" i="4"/>
  <c r="J257" i="4"/>
  <c r="N255" i="4"/>
  <c r="J276" i="4"/>
  <c r="J197" i="4"/>
  <c r="J223" i="4"/>
  <c r="J312" i="4"/>
  <c r="N207" i="4"/>
  <c r="M294" i="4"/>
  <c r="O294" i="4"/>
  <c r="N204" i="4"/>
  <c r="O296" i="4"/>
  <c r="N296" i="4"/>
  <c r="J259" i="4"/>
  <c r="E52" i="4" l="1"/>
  <c r="E53" i="4" s="1"/>
  <c r="E54" i="4"/>
  <c r="E55" i="4" s="1"/>
  <c r="E57" i="4" l="1"/>
  <c r="E58" i="4" s="1"/>
  <c r="E56" i="4"/>
  <c r="U264" i="4" l="1"/>
  <c r="W169" i="4"/>
  <c r="W173" i="4"/>
  <c r="W177" i="4"/>
  <c r="W181" i="4"/>
  <c r="W185" i="4"/>
  <c r="W189" i="4"/>
  <c r="W193" i="4"/>
  <c r="W197" i="4"/>
  <c r="W201" i="4"/>
  <c r="W205" i="4"/>
  <c r="W209" i="4"/>
  <c r="W213" i="4"/>
  <c r="W217" i="4"/>
  <c r="W221" i="4"/>
  <c r="W170" i="4"/>
  <c r="W174" i="4"/>
  <c r="W178" i="4"/>
  <c r="W182" i="4"/>
  <c r="W186" i="4"/>
  <c r="W190" i="4"/>
  <c r="W194" i="4"/>
  <c r="W198" i="4"/>
  <c r="W202" i="4"/>
  <c r="W206" i="4"/>
  <c r="W210" i="4"/>
  <c r="W214" i="4"/>
  <c r="W218" i="4"/>
  <c r="W222" i="4"/>
  <c r="W226" i="4"/>
  <c r="W230" i="4"/>
  <c r="W234" i="4"/>
  <c r="W238" i="4"/>
  <c r="W242" i="4"/>
  <c r="W246" i="4"/>
  <c r="W250" i="4"/>
  <c r="W254" i="4"/>
  <c r="W258" i="4"/>
  <c r="W262" i="4"/>
  <c r="W266" i="4"/>
  <c r="W270" i="4"/>
  <c r="W274" i="4"/>
  <c r="W278" i="4"/>
  <c r="W282" i="4"/>
  <c r="W286" i="4"/>
  <c r="W290" i="4"/>
  <c r="W294" i="4"/>
  <c r="W298" i="4"/>
  <c r="W302" i="4"/>
  <c r="W306" i="4"/>
  <c r="W310" i="4"/>
  <c r="W314" i="4"/>
  <c r="W318" i="4"/>
  <c r="W322" i="4"/>
  <c r="W326" i="4"/>
  <c r="W330" i="4"/>
  <c r="W334" i="4"/>
  <c r="W171" i="4"/>
  <c r="W175" i="4"/>
  <c r="W179" i="4"/>
  <c r="W183" i="4"/>
  <c r="W187" i="4"/>
  <c r="W191" i="4"/>
  <c r="W195" i="4"/>
  <c r="W199" i="4"/>
  <c r="W203" i="4"/>
  <c r="W207" i="4"/>
  <c r="W211" i="4"/>
  <c r="W215" i="4"/>
  <c r="W219" i="4"/>
  <c r="W223" i="4"/>
  <c r="W227" i="4"/>
  <c r="W231" i="4"/>
  <c r="W235" i="4"/>
  <c r="W239" i="4"/>
  <c r="W243" i="4"/>
  <c r="W247" i="4"/>
  <c r="W251" i="4"/>
  <c r="W255" i="4"/>
  <c r="W259" i="4"/>
  <c r="W263" i="4"/>
  <c r="W267" i="4"/>
  <c r="W271" i="4"/>
  <c r="W275" i="4"/>
  <c r="W279" i="4"/>
  <c r="W283" i="4"/>
  <c r="W287" i="4"/>
  <c r="W291" i="4"/>
  <c r="W295" i="4"/>
  <c r="W299" i="4"/>
  <c r="W303" i="4"/>
  <c r="W307" i="4"/>
  <c r="W311" i="4"/>
  <c r="W315" i="4"/>
  <c r="W319" i="4"/>
  <c r="W323" i="4"/>
  <c r="W327" i="4"/>
  <c r="W331" i="4"/>
  <c r="W335" i="4"/>
  <c r="W339" i="4"/>
  <c r="W343" i="4"/>
  <c r="W347" i="4"/>
  <c r="W351" i="4"/>
  <c r="W355" i="4"/>
  <c r="W359" i="4"/>
  <c r="W363" i="4"/>
  <c r="W367" i="4"/>
  <c r="W168" i="4"/>
  <c r="W172" i="4"/>
  <c r="W176" i="4"/>
  <c r="W180" i="4"/>
  <c r="W184" i="4"/>
  <c r="W188" i="4"/>
  <c r="W192" i="4"/>
  <c r="W196" i="4"/>
  <c r="W200" i="4"/>
  <c r="W204" i="4"/>
  <c r="W208" i="4"/>
  <c r="W212" i="4"/>
  <c r="W216" i="4"/>
  <c r="W220" i="4"/>
  <c r="W224" i="4"/>
  <c r="W228" i="4"/>
  <c r="W232" i="4"/>
  <c r="W236" i="4"/>
  <c r="W240" i="4"/>
  <c r="W244" i="4"/>
  <c r="W248" i="4"/>
  <c r="W252" i="4"/>
  <c r="W256" i="4"/>
  <c r="W260" i="4"/>
  <c r="W264" i="4"/>
  <c r="W268" i="4"/>
  <c r="W272" i="4"/>
  <c r="W276" i="4"/>
  <c r="W280" i="4"/>
  <c r="W284" i="4"/>
  <c r="W288" i="4"/>
  <c r="W292" i="4"/>
  <c r="W296" i="4"/>
  <c r="W300" i="4"/>
  <c r="W304" i="4"/>
  <c r="W225" i="4"/>
  <c r="W241" i="4"/>
  <c r="W257" i="4"/>
  <c r="W273" i="4"/>
  <c r="W289" i="4"/>
  <c r="W305" i="4"/>
  <c r="W313" i="4"/>
  <c r="W321" i="4"/>
  <c r="W329" i="4"/>
  <c r="W337" i="4"/>
  <c r="W342" i="4"/>
  <c r="W348" i="4"/>
  <c r="W353" i="4"/>
  <c r="W358" i="4"/>
  <c r="W364" i="4"/>
  <c r="W349" i="4"/>
  <c r="W354" i="4"/>
  <c r="W365" i="4"/>
  <c r="W366" i="4"/>
  <c r="W237" i="4"/>
  <c r="W269" i="4"/>
  <c r="W312" i="4"/>
  <c r="W328" i="4"/>
  <c r="W341" i="4"/>
  <c r="W357" i="4"/>
  <c r="W229" i="4"/>
  <c r="W245" i="4"/>
  <c r="W261" i="4"/>
  <c r="W277" i="4"/>
  <c r="W293" i="4"/>
  <c r="W308" i="4"/>
  <c r="W316" i="4"/>
  <c r="W324" i="4"/>
  <c r="W332" i="4"/>
  <c r="W338" i="4"/>
  <c r="W344" i="4"/>
  <c r="W360" i="4"/>
  <c r="W285" i="4"/>
  <c r="W320" i="4"/>
  <c r="W346" i="4"/>
  <c r="W362" i="4"/>
  <c r="W233" i="4"/>
  <c r="W249" i="4"/>
  <c r="W265" i="4"/>
  <c r="W281" i="4"/>
  <c r="W297" i="4"/>
  <c r="W309" i="4"/>
  <c r="W317" i="4"/>
  <c r="W325" i="4"/>
  <c r="W333" i="4"/>
  <c r="W340" i="4"/>
  <c r="W345" i="4"/>
  <c r="W350" i="4"/>
  <c r="W356" i="4"/>
  <c r="W361" i="4"/>
  <c r="W253" i="4"/>
  <c r="W301" i="4"/>
  <c r="W336" i="4"/>
  <c r="W352" i="4"/>
  <c r="W167" i="4"/>
  <c r="U271" i="4"/>
  <c r="V256" i="4"/>
  <c r="V167" i="4"/>
  <c r="U246" i="4"/>
  <c r="U296" i="4"/>
  <c r="U238" i="4"/>
  <c r="T214" i="4"/>
  <c r="U300" i="4"/>
  <c r="V300" i="4"/>
  <c r="V298" i="4"/>
  <c r="U210" i="4"/>
  <c r="V221" i="4"/>
  <c r="T298" i="4"/>
  <c r="V288" i="4"/>
  <c r="T295" i="4"/>
  <c r="T167" i="4"/>
  <c r="U306" i="4"/>
  <c r="V173" i="4"/>
  <c r="T254" i="4"/>
  <c r="V263" i="4"/>
  <c r="V179" i="4"/>
  <c r="V178" i="4"/>
  <c r="T200" i="4"/>
  <c r="V242" i="4"/>
  <c r="T264" i="4"/>
  <c r="T276" i="4"/>
  <c r="V177" i="4"/>
  <c r="V193" i="4"/>
  <c r="U204" i="4"/>
  <c r="T215" i="4"/>
  <c r="V225" i="4"/>
  <c r="U236" i="4"/>
  <c r="T247" i="4"/>
  <c r="V257" i="4"/>
  <c r="U268" i="4"/>
  <c r="T279" i="4"/>
  <c r="T178" i="4"/>
  <c r="V188" i="4"/>
  <c r="T194" i="4"/>
  <c r="U215" i="4"/>
  <c r="V236" i="4"/>
  <c r="T258" i="4"/>
  <c r="U279" i="4"/>
  <c r="U290" i="4"/>
  <c r="T301" i="4"/>
  <c r="V311" i="4"/>
  <c r="T181" i="4"/>
  <c r="V207" i="4"/>
  <c r="T229" i="4"/>
  <c r="U250" i="4"/>
  <c r="V271" i="4"/>
  <c r="V286" i="4"/>
  <c r="T296" i="4"/>
  <c r="V302" i="4"/>
  <c r="U309" i="4"/>
  <c r="U317" i="4"/>
  <c r="V187" i="4"/>
  <c r="U203" i="4"/>
  <c r="U219" i="4"/>
  <c r="T193" i="4"/>
  <c r="T238" i="4"/>
  <c r="V264" i="4"/>
  <c r="T283" i="4"/>
  <c r="V293" i="4"/>
  <c r="U304" i="4"/>
  <c r="T315" i="4"/>
  <c r="T303" i="4"/>
  <c r="T201" i="4"/>
  <c r="V235" i="4"/>
  <c r="T257" i="4"/>
  <c r="T282" i="4"/>
  <c r="U295" i="4"/>
  <c r="V316" i="4"/>
  <c r="T217" i="4"/>
  <c r="V243" i="4"/>
  <c r="T265" i="4"/>
  <c r="U283" i="4"/>
  <c r="T294" i="4"/>
  <c r="V304" i="4"/>
  <c r="U315" i="4"/>
  <c r="T209" i="4"/>
  <c r="V240" i="4"/>
  <c r="T262" i="4"/>
  <c r="U284" i="4"/>
  <c r="V297" i="4"/>
  <c r="U316" i="4"/>
  <c r="U303" i="4"/>
  <c r="V210" i="4"/>
  <c r="T244" i="4"/>
  <c r="U265" i="4"/>
  <c r="T280" i="4"/>
  <c r="T183" i="4"/>
  <c r="T195" i="4"/>
  <c r="V205" i="4"/>
  <c r="U216" i="4"/>
  <c r="T227" i="4"/>
  <c r="V237" i="4"/>
  <c r="U248" i="4"/>
  <c r="T259" i="4"/>
  <c r="V269" i="4"/>
  <c r="V168" i="4"/>
  <c r="U179" i="4"/>
  <c r="T190" i="4"/>
  <c r="V196" i="4"/>
  <c r="T218" i="4"/>
  <c r="U239" i="4"/>
  <c r="V260" i="4"/>
  <c r="V226" i="4"/>
  <c r="V274" i="4"/>
  <c r="U188" i="4"/>
  <c r="T211" i="4"/>
  <c r="U232" i="4"/>
  <c r="V253" i="4"/>
  <c r="T275" i="4"/>
  <c r="V184" i="4"/>
  <c r="U207" i="4"/>
  <c r="T250" i="4"/>
  <c r="T285" i="4"/>
  <c r="T297" i="4"/>
  <c r="T313" i="4"/>
  <c r="T197" i="4"/>
  <c r="T221" i="4"/>
  <c r="T253" i="4"/>
  <c r="U281" i="4"/>
  <c r="U293" i="4"/>
  <c r="T304" i="4"/>
  <c r="U313" i="4"/>
  <c r="U182" i="4"/>
  <c r="V208" i="4"/>
  <c r="V224" i="4"/>
  <c r="V232" i="4"/>
  <c r="T270" i="4"/>
  <c r="U288" i="4"/>
  <c r="V301" i="4"/>
  <c r="V317" i="4"/>
  <c r="V313" i="4"/>
  <c r="U230" i="4"/>
  <c r="U262" i="4"/>
  <c r="U287" i="4"/>
  <c r="U311" i="4"/>
  <c r="V227" i="4"/>
  <c r="U254" i="4"/>
  <c r="V280" i="4"/>
  <c r="V296" i="4"/>
  <c r="T310" i="4"/>
  <c r="U198" i="4"/>
  <c r="T246" i="4"/>
  <c r="V272" i="4"/>
  <c r="U292" i="4"/>
  <c r="U278" i="4"/>
  <c r="T314" i="4"/>
  <c r="U253" i="4"/>
  <c r="U172" i="4"/>
  <c r="T199" i="4"/>
  <c r="U220" i="4"/>
  <c r="V241" i="4"/>
  <c r="T263" i="4"/>
  <c r="V172" i="4"/>
  <c r="U174" i="4"/>
  <c r="T226" i="4"/>
  <c r="V268" i="4"/>
  <c r="U286" i="4"/>
  <c r="U302" i="4"/>
  <c r="T317" i="4"/>
  <c r="V199" i="4"/>
  <c r="V231" i="4"/>
  <c r="T261" i="4"/>
  <c r="V282" i="4"/>
  <c r="U297" i="4"/>
  <c r="V306" i="4"/>
  <c r="V314" i="4"/>
  <c r="V192" i="4"/>
  <c r="U211" i="4"/>
  <c r="T173" i="4"/>
  <c r="V248" i="4"/>
  <c r="U275" i="4"/>
  <c r="T291" i="4"/>
  <c r="T307" i="4"/>
  <c r="V281" i="4"/>
  <c r="T189" i="4"/>
  <c r="T241" i="4"/>
  <c r="V267" i="4"/>
  <c r="V292" i="4"/>
  <c r="U178" i="4"/>
  <c r="T233" i="4"/>
  <c r="V259" i="4"/>
  <c r="T286" i="4"/>
  <c r="U299" i="4"/>
  <c r="V312" i="4"/>
  <c r="V219" i="4"/>
  <c r="U251" i="4"/>
  <c r="T278" i="4"/>
  <c r="T290" i="4"/>
  <c r="V289" i="4"/>
  <c r="U235" i="4"/>
  <c r="U307" i="4"/>
  <c r="V275" i="4"/>
  <c r="U206" i="4"/>
  <c r="V284" i="4"/>
  <c r="U222" i="4"/>
  <c r="U312" i="4"/>
  <c r="V285" i="4"/>
  <c r="T225" i="4"/>
  <c r="V200" i="4"/>
  <c r="T312" i="4"/>
  <c r="T292" i="4"/>
  <c r="U242" i="4"/>
  <c r="U186" i="4"/>
  <c r="V295" i="4"/>
  <c r="U247" i="4"/>
  <c r="U183" i="4"/>
  <c r="U252" i="4"/>
  <c r="V209" i="4"/>
  <c r="U269" i="4"/>
  <c r="T311" i="4"/>
  <c r="T287" i="4"/>
  <c r="T230" i="4"/>
  <c r="T302" i="4"/>
  <c r="U270" i="4"/>
  <c r="V195" i="4"/>
  <c r="T273" i="4"/>
  <c r="V211" i="4"/>
  <c r="V309" i="4"/>
  <c r="U280" i="4"/>
  <c r="V203" i="4"/>
  <c r="T198" i="4"/>
  <c r="T308" i="4"/>
  <c r="T288" i="4"/>
  <c r="V239" i="4"/>
  <c r="U167" i="4"/>
  <c r="V291" i="4"/>
  <c r="V228" i="4"/>
  <c r="T174" i="4"/>
  <c r="T243" i="4"/>
  <c r="U200" i="4"/>
  <c r="V254" i="4"/>
  <c r="V308" i="4"/>
  <c r="V305" i="4"/>
  <c r="U267" i="4"/>
  <c r="V183" i="4"/>
  <c r="U291" i="4"/>
  <c r="T249" i="4"/>
  <c r="T306" i="4"/>
  <c r="V251" i="4"/>
  <c r="U308" i="4"/>
  <c r="T299" i="4"/>
  <c r="U259" i="4"/>
  <c r="T222" i="4"/>
  <c r="V171" i="4"/>
  <c r="U301" i="4"/>
  <c r="U274" i="4"/>
  <c r="U218" i="4"/>
  <c r="V307" i="4"/>
  <c r="T281" i="4"/>
  <c r="V204" i="4"/>
  <c r="V273" i="4"/>
  <c r="T231" i="4"/>
  <c r="U184" i="4"/>
  <c r="V222" i="4"/>
  <c r="V189" i="4"/>
  <c r="T179" i="4"/>
  <c r="U168" i="4"/>
  <c r="V270" i="4"/>
  <c r="T260" i="4"/>
  <c r="U249" i="4"/>
  <c r="U237" i="4"/>
  <c r="T216" i="4"/>
  <c r="V194" i="4"/>
  <c r="V258" i="4"/>
  <c r="T248" i="4"/>
  <c r="T232" i="4"/>
  <c r="T212" i="4"/>
  <c r="U189" i="4"/>
  <c r="U201" i="4"/>
  <c r="T184" i="4"/>
  <c r="U233" i="4"/>
  <c r="U221" i="4"/>
  <c r="U205" i="4"/>
  <c r="V190" i="4"/>
  <c r="V182" i="4"/>
  <c r="T188" i="4"/>
  <c r="U193" i="4"/>
  <c r="V198" i="4"/>
  <c r="T204" i="4"/>
  <c r="U209" i="4"/>
  <c r="V214" i="4"/>
  <c r="T220" i="4"/>
  <c r="U225" i="4"/>
  <c r="V230" i="4"/>
  <c r="T236" i="4"/>
  <c r="U241" i="4"/>
  <c r="V246" i="4"/>
  <c r="T252" i="4"/>
  <c r="U257" i="4"/>
  <c r="V262" i="4"/>
  <c r="T268" i="4"/>
  <c r="U273" i="4"/>
  <c r="V278" i="4"/>
  <c r="T171" i="4"/>
  <c r="U176" i="4"/>
  <c r="V181" i="4"/>
  <c r="T187" i="4"/>
  <c r="U192" i="4"/>
  <c r="V197" i="4"/>
  <c r="T203" i="4"/>
  <c r="U208" i="4"/>
  <c r="V213" i="4"/>
  <c r="T219" i="4"/>
  <c r="U224" i="4"/>
  <c r="V229" i="4"/>
  <c r="T235" i="4"/>
  <c r="U240" i="4"/>
  <c r="V245" i="4"/>
  <c r="T251" i="4"/>
  <c r="U256" i="4"/>
  <c r="V261" i="4"/>
  <c r="T267" i="4"/>
  <c r="U272" i="4"/>
  <c r="V277" i="4"/>
  <c r="U171" i="4"/>
  <c r="V176" i="4"/>
  <c r="T182" i="4"/>
  <c r="U187" i="4"/>
  <c r="T169" i="4"/>
  <c r="U190" i="4"/>
  <c r="T202" i="4"/>
  <c r="V212" i="4"/>
  <c r="U223" i="4"/>
  <c r="T234" i="4"/>
  <c r="V244" i="4"/>
  <c r="U255" i="4"/>
  <c r="T266" i="4"/>
  <c r="V276" i="4"/>
  <c r="V283" i="4"/>
  <c r="T289" i="4"/>
  <c r="U294" i="4"/>
  <c r="V299" i="4"/>
  <c r="T305" i="4"/>
  <c r="U310" i="4"/>
  <c r="V315" i="4"/>
  <c r="V175" i="4"/>
  <c r="U194" i="4"/>
  <c r="T205" i="4"/>
  <c r="V215" i="4"/>
  <c r="U226" i="4"/>
  <c r="T237" i="4"/>
  <c r="V247" i="4"/>
  <c r="U258" i="4"/>
  <c r="T269" i="4"/>
  <c r="V279" i="4"/>
  <c r="U285" i="4"/>
  <c r="V290" i="4"/>
  <c r="T180" i="4"/>
  <c r="V186" i="4"/>
  <c r="T192" i="4"/>
  <c r="U197" i="4"/>
  <c r="V202" i="4"/>
  <c r="T208" i="4"/>
  <c r="U213" i="4"/>
  <c r="V218" i="4"/>
  <c r="T224" i="4"/>
  <c r="U229" i="4"/>
  <c r="V234" i="4"/>
  <c r="T240" i="4"/>
  <c r="U245" i="4"/>
  <c r="V250" i="4"/>
  <c r="T256" i="4"/>
  <c r="U261" i="4"/>
  <c r="V266" i="4"/>
  <c r="T272" i="4"/>
  <c r="U277" i="4"/>
  <c r="V169" i="4"/>
  <c r="T175" i="4"/>
  <c r="U180" i="4"/>
  <c r="V185" i="4"/>
  <c r="T191" i="4"/>
  <c r="U196" i="4"/>
  <c r="V201" i="4"/>
  <c r="T207" i="4"/>
  <c r="U212" i="4"/>
  <c r="V217" i="4"/>
  <c r="T223" i="4"/>
  <c r="U228" i="4"/>
  <c r="V233" i="4"/>
  <c r="T239" i="4"/>
  <c r="U244" i="4"/>
  <c r="V249" i="4"/>
  <c r="T255" i="4"/>
  <c r="U260" i="4"/>
  <c r="V265" i="4"/>
  <c r="T271" i="4"/>
  <c r="U276" i="4"/>
  <c r="T170" i="4"/>
  <c r="U175" i="4"/>
  <c r="V180" i="4"/>
  <c r="T186" i="4"/>
  <c r="U191" i="4"/>
  <c r="T185" i="4"/>
  <c r="U199" i="4"/>
  <c r="T210" i="4"/>
  <c r="V220" i="4"/>
  <c r="U231" i="4"/>
  <c r="T242" i="4"/>
  <c r="V252" i="4"/>
  <c r="U263" i="4"/>
  <c r="T274" i="4"/>
  <c r="U282" i="4"/>
  <c r="V287" i="4"/>
  <c r="T293" i="4"/>
  <c r="U298" i="4"/>
  <c r="V303" i="4"/>
  <c r="T309" i="4"/>
  <c r="U314" i="4"/>
  <c r="U170" i="4"/>
  <c r="V191" i="4"/>
  <c r="U202" i="4"/>
  <c r="T213" i="4"/>
  <c r="V223" i="4"/>
  <c r="U234" i="4"/>
  <c r="T245" i="4"/>
  <c r="V255" i="4"/>
  <c r="U266" i="4"/>
  <c r="T277" i="4"/>
  <c r="T284" i="4"/>
  <c r="U289" i="4"/>
  <c r="V294" i="4"/>
  <c r="T300" i="4"/>
  <c r="U305" i="4"/>
  <c r="V310" i="4"/>
  <c r="T316" i="4"/>
  <c r="T177" i="4"/>
  <c r="U195" i="4"/>
  <c r="T206" i="4"/>
  <c r="V216" i="4"/>
  <c r="U227" i="4"/>
  <c r="U214" i="4"/>
  <c r="U243" i="4"/>
  <c r="V238" i="4"/>
  <c r="T228" i="4"/>
  <c r="U217" i="4"/>
  <c r="V206" i="4"/>
  <c r="T196" i="4"/>
  <c r="U185" i="4"/>
  <c r="U173" i="4"/>
  <c r="U318" i="4"/>
  <c r="S319" i="4"/>
  <c r="U320" i="4"/>
  <c r="S321" i="4"/>
  <c r="U322" i="4"/>
  <c r="S323" i="4"/>
  <c r="U324" i="4"/>
  <c r="S325" i="4"/>
  <c r="U326" i="4"/>
  <c r="R318" i="4"/>
  <c r="V318" i="4"/>
  <c r="T319" i="4"/>
  <c r="R320" i="4"/>
  <c r="V320" i="4"/>
  <c r="T321" i="4"/>
  <c r="R322" i="4"/>
  <c r="V322" i="4"/>
  <c r="T323" i="4"/>
  <c r="R324" i="4"/>
  <c r="V324" i="4"/>
  <c r="T325" i="4"/>
  <c r="R326" i="4"/>
  <c r="V326" i="4"/>
  <c r="T327" i="4"/>
  <c r="R328" i="4"/>
  <c r="V328" i="4"/>
  <c r="T329" i="4"/>
  <c r="R330" i="4"/>
  <c r="V330" i="4"/>
  <c r="T331" i="4"/>
  <c r="R332" i="4"/>
  <c r="V332" i="4"/>
  <c r="T333" i="4"/>
  <c r="R334" i="4"/>
  <c r="V334" i="4"/>
  <c r="T335" i="4"/>
  <c r="R336" i="4"/>
  <c r="V336" i="4"/>
  <c r="T337" i="4"/>
  <c r="R338" i="4"/>
  <c r="V338" i="4"/>
  <c r="S318" i="4"/>
  <c r="S320" i="4"/>
  <c r="S322" i="4"/>
  <c r="S324" i="4"/>
  <c r="S326" i="4"/>
  <c r="S327" i="4"/>
  <c r="U328" i="4"/>
  <c r="S329" i="4"/>
  <c r="U330" i="4"/>
  <c r="S331" i="4"/>
  <c r="U332" i="4"/>
  <c r="S333" i="4"/>
  <c r="U334" i="4"/>
  <c r="S335" i="4"/>
  <c r="U336" i="4"/>
  <c r="S337" i="4"/>
  <c r="U338" i="4"/>
  <c r="U339" i="4"/>
  <c r="S340" i="4"/>
  <c r="U341" i="4"/>
  <c r="S342" i="4"/>
  <c r="U343" i="4"/>
  <c r="S344" i="4"/>
  <c r="T318" i="4"/>
  <c r="R319" i="4"/>
  <c r="T320" i="4"/>
  <c r="R321" i="4"/>
  <c r="R323" i="4"/>
  <c r="R325" i="4"/>
  <c r="V327" i="4"/>
  <c r="R329" i="4"/>
  <c r="S330" i="4"/>
  <c r="V331" i="4"/>
  <c r="R333" i="4"/>
  <c r="S334" i="4"/>
  <c r="V335" i="4"/>
  <c r="R337" i="4"/>
  <c r="S338" i="4"/>
  <c r="S339" i="4"/>
  <c r="V340" i="4"/>
  <c r="S341" i="4"/>
  <c r="V342" i="4"/>
  <c r="S343" i="4"/>
  <c r="V344" i="4"/>
  <c r="S345" i="4"/>
  <c r="U346" i="4"/>
  <c r="S347" i="4"/>
  <c r="U348" i="4"/>
  <c r="S349" i="4"/>
  <c r="U350" i="4"/>
  <c r="S351" i="4"/>
  <c r="U352" i="4"/>
  <c r="S353" i="4"/>
  <c r="U354" i="4"/>
  <c r="S355" i="4"/>
  <c r="U356" i="4"/>
  <c r="S357" i="4"/>
  <c r="U358" i="4"/>
  <c r="S359" i="4"/>
  <c r="U360" i="4"/>
  <c r="S361" i="4"/>
  <c r="U362" i="4"/>
  <c r="S363" i="4"/>
  <c r="U364" i="4"/>
  <c r="S365" i="4"/>
  <c r="U366" i="4"/>
  <c r="S367" i="4"/>
  <c r="R346" i="4"/>
  <c r="V346" i="4"/>
  <c r="T347" i="4"/>
  <c r="R350" i="4"/>
  <c r="V350" i="4"/>
  <c r="R352" i="4"/>
  <c r="V352" i="4"/>
  <c r="U323" i="4"/>
  <c r="U325" i="4"/>
  <c r="U329" i="4"/>
  <c r="T330" i="4"/>
  <c r="U333" i="4"/>
  <c r="T334" i="4"/>
  <c r="U337" i="4"/>
  <c r="T338" i="4"/>
  <c r="T339" i="4"/>
  <c r="R340" i="4"/>
  <c r="T341" i="4"/>
  <c r="R342" i="4"/>
  <c r="T343" i="4"/>
  <c r="R344" i="4"/>
  <c r="T345" i="4"/>
  <c r="R348" i="4"/>
  <c r="V348" i="4"/>
  <c r="T349" i="4"/>
  <c r="T351" i="4"/>
  <c r="T353" i="4"/>
  <c r="R354" i="4"/>
  <c r="V354" i="4"/>
  <c r="T355" i="4"/>
  <c r="T322" i="4"/>
  <c r="V325" i="4"/>
  <c r="U327" i="4"/>
  <c r="S332" i="4"/>
  <c r="V333" i="4"/>
  <c r="U335" i="4"/>
  <c r="V345" i="4"/>
  <c r="V347" i="4"/>
  <c r="V349" i="4"/>
  <c r="V351" i="4"/>
  <c r="V353" i="4"/>
  <c r="V355" i="4"/>
  <c r="S356" i="4"/>
  <c r="V357" i="4"/>
  <c r="S358" i="4"/>
  <c r="V359" i="4"/>
  <c r="S360" i="4"/>
  <c r="V361" i="4"/>
  <c r="S362" i="4"/>
  <c r="V363" i="4"/>
  <c r="S364" i="4"/>
  <c r="V365" i="4"/>
  <c r="S366" i="4"/>
  <c r="V367" i="4"/>
  <c r="R343" i="4"/>
  <c r="T344" i="4"/>
  <c r="T346" i="4"/>
  <c r="R347" i="4"/>
  <c r="T350" i="4"/>
  <c r="R351" i="4"/>
  <c r="T354" i="4"/>
  <c r="R355" i="4"/>
  <c r="V358" i="4"/>
  <c r="T361" i="4"/>
  <c r="V362" i="4"/>
  <c r="T365" i="4"/>
  <c r="V366" i="4"/>
  <c r="V319" i="4"/>
  <c r="T324" i="4"/>
  <c r="R327" i="4"/>
  <c r="R335" i="4"/>
  <c r="U347" i="4"/>
  <c r="V323" i="4"/>
  <c r="R331" i="4"/>
  <c r="T332" i="4"/>
  <c r="S346" i="4"/>
  <c r="S348" i="4"/>
  <c r="S350" i="4"/>
  <c r="S352" i="4"/>
  <c r="S354" i="4"/>
  <c r="T356" i="4"/>
  <c r="R357" i="4"/>
  <c r="T358" i="4"/>
  <c r="R359" i="4"/>
  <c r="T360" i="4"/>
  <c r="R361" i="4"/>
  <c r="T362" i="4"/>
  <c r="R363" i="4"/>
  <c r="T364" i="4"/>
  <c r="R365" i="4"/>
  <c r="T366" i="4"/>
  <c r="R367" i="4"/>
  <c r="U319" i="4"/>
  <c r="U321" i="4"/>
  <c r="T326" i="4"/>
  <c r="S328" i="4"/>
  <c r="V329" i="4"/>
  <c r="U331" i="4"/>
  <c r="S336" i="4"/>
  <c r="V337" i="4"/>
  <c r="R339" i="4"/>
  <c r="T340" i="4"/>
  <c r="R341" i="4"/>
  <c r="T342" i="4"/>
  <c r="R345" i="4"/>
  <c r="T348" i="4"/>
  <c r="R349" i="4"/>
  <c r="T352" i="4"/>
  <c r="R353" i="4"/>
  <c r="V356" i="4"/>
  <c r="T357" i="4"/>
  <c r="T359" i="4"/>
  <c r="V360" i="4"/>
  <c r="T363" i="4"/>
  <c r="V364" i="4"/>
  <c r="T367" i="4"/>
  <c r="V321" i="4"/>
  <c r="T328" i="4"/>
  <c r="T336" i="4"/>
  <c r="V339" i="4"/>
  <c r="U340" i="4"/>
  <c r="V341" i="4"/>
  <c r="U342" i="4"/>
  <c r="V343" i="4"/>
  <c r="U344" i="4"/>
  <c r="U345" i="4"/>
  <c r="U357" i="4"/>
  <c r="U361" i="4"/>
  <c r="U365" i="4"/>
  <c r="R358" i="4"/>
  <c r="R366" i="4"/>
  <c r="U359" i="4"/>
  <c r="U367" i="4"/>
  <c r="R360" i="4"/>
  <c r="R362" i="4"/>
  <c r="U349" i="4"/>
  <c r="U351" i="4"/>
  <c r="U353" i="4"/>
  <c r="U355" i="4"/>
  <c r="U363" i="4"/>
  <c r="R356" i="4"/>
  <c r="R364" i="4"/>
  <c r="U181" i="4"/>
  <c r="U177" i="4"/>
  <c r="T176" i="4"/>
  <c r="V174" i="4"/>
  <c r="T168" i="4"/>
  <c r="R168" i="4"/>
  <c r="R170" i="4"/>
  <c r="R172" i="4"/>
  <c r="R174" i="4"/>
  <c r="R176" i="4"/>
  <c r="R178" i="4"/>
  <c r="R180" i="4"/>
  <c r="R182" i="4"/>
  <c r="R184" i="4"/>
  <c r="R186" i="4"/>
  <c r="R188" i="4"/>
  <c r="R190" i="4"/>
  <c r="R192" i="4"/>
  <c r="R194" i="4"/>
  <c r="R196" i="4"/>
  <c r="R198" i="4"/>
  <c r="R200" i="4"/>
  <c r="R202" i="4"/>
  <c r="R204" i="4"/>
  <c r="R206" i="4"/>
  <c r="R208" i="4"/>
  <c r="R210" i="4"/>
  <c r="R212" i="4"/>
  <c r="R214" i="4"/>
  <c r="R216" i="4"/>
  <c r="R218" i="4"/>
  <c r="R220" i="4"/>
  <c r="R222" i="4"/>
  <c r="R224" i="4"/>
  <c r="R226" i="4"/>
  <c r="R228" i="4"/>
  <c r="R230" i="4"/>
  <c r="R232" i="4"/>
  <c r="R234" i="4"/>
  <c r="R236" i="4"/>
  <c r="R238" i="4"/>
  <c r="R240" i="4"/>
  <c r="R242" i="4"/>
  <c r="R244" i="4"/>
  <c r="R246" i="4"/>
  <c r="R248" i="4"/>
  <c r="R250" i="4"/>
  <c r="R252" i="4"/>
  <c r="R254" i="4"/>
  <c r="R256" i="4"/>
  <c r="R258" i="4"/>
  <c r="R260" i="4"/>
  <c r="R262" i="4"/>
  <c r="R264" i="4"/>
  <c r="R266" i="4"/>
  <c r="R268" i="4"/>
  <c r="R270" i="4"/>
  <c r="R272" i="4"/>
  <c r="R274" i="4"/>
  <c r="R276" i="4"/>
  <c r="R278" i="4"/>
  <c r="R280" i="4"/>
  <c r="R282" i="4"/>
  <c r="R284" i="4"/>
  <c r="R286" i="4"/>
  <c r="R288" i="4"/>
  <c r="R290" i="4"/>
  <c r="R292" i="4"/>
  <c r="R294" i="4"/>
  <c r="R296" i="4"/>
  <c r="R298" i="4"/>
  <c r="R300" i="4"/>
  <c r="R302" i="4"/>
  <c r="R304" i="4"/>
  <c r="R306" i="4"/>
  <c r="R308" i="4"/>
  <c r="R310" i="4"/>
  <c r="R312" i="4"/>
  <c r="R314" i="4"/>
  <c r="R316" i="4"/>
  <c r="S167" i="4"/>
  <c r="S168" i="4"/>
  <c r="S170" i="4"/>
  <c r="S172" i="4"/>
  <c r="S174" i="4"/>
  <c r="S176" i="4"/>
  <c r="S178" i="4"/>
  <c r="S180" i="4"/>
  <c r="S182" i="4"/>
  <c r="S184" i="4"/>
  <c r="S186" i="4"/>
  <c r="S188" i="4"/>
  <c r="S190" i="4"/>
  <c r="S192" i="4"/>
  <c r="S194" i="4"/>
  <c r="S196" i="4"/>
  <c r="S198" i="4"/>
  <c r="S200" i="4"/>
  <c r="S202" i="4"/>
  <c r="S204" i="4"/>
  <c r="S206" i="4"/>
  <c r="S208" i="4"/>
  <c r="S210" i="4"/>
  <c r="S212" i="4"/>
  <c r="S214" i="4"/>
  <c r="S216" i="4"/>
  <c r="S218" i="4"/>
  <c r="S220" i="4"/>
  <c r="S222" i="4"/>
  <c r="S224" i="4"/>
  <c r="S226" i="4"/>
  <c r="S228" i="4"/>
  <c r="S230" i="4"/>
  <c r="S232" i="4"/>
  <c r="S234" i="4"/>
  <c r="S236" i="4"/>
  <c r="S238" i="4"/>
  <c r="S240" i="4"/>
  <c r="S242" i="4"/>
  <c r="S244" i="4"/>
  <c r="S246" i="4"/>
  <c r="S248" i="4"/>
  <c r="S250" i="4"/>
  <c r="S252" i="4"/>
  <c r="S254" i="4"/>
  <c r="S256" i="4"/>
  <c r="S258" i="4"/>
  <c r="S260" i="4"/>
  <c r="S262" i="4"/>
  <c r="S264" i="4"/>
  <c r="S266" i="4"/>
  <c r="S268" i="4"/>
  <c r="S270" i="4"/>
  <c r="S272" i="4"/>
  <c r="S274" i="4"/>
  <c r="S276" i="4"/>
  <c r="S278" i="4"/>
  <c r="S280" i="4"/>
  <c r="S282" i="4"/>
  <c r="S284" i="4"/>
  <c r="S286" i="4"/>
  <c r="S288" i="4"/>
  <c r="S290" i="4"/>
  <c r="S292" i="4"/>
  <c r="S294" i="4"/>
  <c r="S296" i="4"/>
  <c r="S298" i="4"/>
  <c r="S300" i="4"/>
  <c r="S302" i="4"/>
  <c r="S304" i="4"/>
  <c r="S306" i="4"/>
  <c r="S308" i="4"/>
  <c r="S310" i="4"/>
  <c r="S312" i="4"/>
  <c r="S314" i="4"/>
  <c r="S316" i="4"/>
  <c r="R167" i="4"/>
  <c r="R169" i="4"/>
  <c r="R171" i="4"/>
  <c r="R173" i="4"/>
  <c r="R175" i="4"/>
  <c r="R177" i="4"/>
  <c r="R179" i="4"/>
  <c r="R181" i="4"/>
  <c r="R183" i="4"/>
  <c r="R185" i="4"/>
  <c r="S169" i="4"/>
  <c r="S177" i="4"/>
  <c r="S185" i="4"/>
  <c r="S189" i="4"/>
  <c r="S193" i="4"/>
  <c r="S197" i="4"/>
  <c r="S201" i="4"/>
  <c r="S205" i="4"/>
  <c r="S209" i="4"/>
  <c r="S213" i="4"/>
  <c r="S217" i="4"/>
  <c r="S221" i="4"/>
  <c r="S225" i="4"/>
  <c r="S229" i="4"/>
  <c r="S233" i="4"/>
  <c r="S237" i="4"/>
  <c r="S241" i="4"/>
  <c r="S245" i="4"/>
  <c r="S249" i="4"/>
  <c r="S253" i="4"/>
  <c r="S257" i="4"/>
  <c r="S261" i="4"/>
  <c r="S265" i="4"/>
  <c r="S269" i="4"/>
  <c r="S273" i="4"/>
  <c r="S277" i="4"/>
  <c r="S281" i="4"/>
  <c r="S285" i="4"/>
  <c r="S289" i="4"/>
  <c r="S293" i="4"/>
  <c r="S297" i="4"/>
  <c r="S301" i="4"/>
  <c r="S305" i="4"/>
  <c r="S309" i="4"/>
  <c r="S313" i="4"/>
  <c r="S317" i="4"/>
  <c r="S171" i="4"/>
  <c r="S179" i="4"/>
  <c r="R187" i="4"/>
  <c r="R191" i="4"/>
  <c r="R195" i="4"/>
  <c r="R199" i="4"/>
  <c r="R203" i="4"/>
  <c r="R207" i="4"/>
  <c r="R211" i="4"/>
  <c r="R215" i="4"/>
  <c r="R219" i="4"/>
  <c r="R223" i="4"/>
  <c r="R227" i="4"/>
  <c r="R231" i="4"/>
  <c r="R235" i="4"/>
  <c r="R239" i="4"/>
  <c r="R243" i="4"/>
  <c r="R247" i="4"/>
  <c r="R251" i="4"/>
  <c r="R255" i="4"/>
  <c r="R259" i="4"/>
  <c r="R263" i="4"/>
  <c r="R267" i="4"/>
  <c r="R271" i="4"/>
  <c r="R275" i="4"/>
  <c r="R279" i="4"/>
  <c r="R283" i="4"/>
  <c r="R287" i="4"/>
  <c r="R291" i="4"/>
  <c r="R295" i="4"/>
  <c r="R299" i="4"/>
  <c r="R303" i="4"/>
  <c r="R307" i="4"/>
  <c r="R311" i="4"/>
  <c r="R315" i="4"/>
  <c r="S173" i="4"/>
  <c r="S181" i="4"/>
  <c r="S187" i="4"/>
  <c r="S191" i="4"/>
  <c r="S195" i="4"/>
  <c r="S199" i="4"/>
  <c r="S203" i="4"/>
  <c r="S207" i="4"/>
  <c r="S211" i="4"/>
  <c r="S215" i="4"/>
  <c r="S219" i="4"/>
  <c r="S223" i="4"/>
  <c r="S227" i="4"/>
  <c r="S231" i="4"/>
  <c r="R193" i="4"/>
  <c r="R209" i="4"/>
  <c r="R225" i="4"/>
  <c r="R237" i="4"/>
  <c r="R245" i="4"/>
  <c r="R253" i="4"/>
  <c r="R261" i="4"/>
  <c r="R269" i="4"/>
  <c r="R277" i="4"/>
  <c r="R285" i="4"/>
  <c r="R293" i="4"/>
  <c r="R301" i="4"/>
  <c r="R309" i="4"/>
  <c r="R317" i="4"/>
  <c r="S175" i="4"/>
  <c r="R197" i="4"/>
  <c r="R213" i="4"/>
  <c r="R229" i="4"/>
  <c r="S239" i="4"/>
  <c r="S247" i="4"/>
  <c r="S255" i="4"/>
  <c r="S263" i="4"/>
  <c r="S271" i="4"/>
  <c r="S279" i="4"/>
  <c r="S287" i="4"/>
  <c r="S295" i="4"/>
  <c r="S303" i="4"/>
  <c r="S311" i="4"/>
  <c r="S183" i="4"/>
  <c r="R201" i="4"/>
  <c r="R217" i="4"/>
  <c r="R233" i="4"/>
  <c r="R241" i="4"/>
  <c r="R249" i="4"/>
  <c r="R257" i="4"/>
  <c r="R265" i="4"/>
  <c r="R273" i="4"/>
  <c r="R281" i="4"/>
  <c r="R289" i="4"/>
  <c r="R297" i="4"/>
  <c r="R305" i="4"/>
  <c r="R313" i="4"/>
  <c r="R189" i="4"/>
  <c r="R205" i="4"/>
  <c r="R221" i="4"/>
  <c r="S235" i="4"/>
  <c r="S243" i="4"/>
  <c r="S251" i="4"/>
  <c r="S259" i="4"/>
  <c r="S267" i="4"/>
  <c r="S275" i="4"/>
  <c r="S283" i="4"/>
  <c r="S291" i="4"/>
  <c r="S299" i="4"/>
  <c r="S307" i="4"/>
  <c r="S315" i="4"/>
  <c r="T172" i="4"/>
  <c r="V170" i="4"/>
  <c r="U169" i="4"/>
</calcChain>
</file>

<file path=xl/sharedStrings.xml><?xml version="1.0" encoding="utf-8"?>
<sst xmlns="http://schemas.openxmlformats.org/spreadsheetml/2006/main" count="141" uniqueCount="123">
  <si>
    <t>Fs</t>
  </si>
  <si>
    <t>Vas</t>
  </si>
  <si>
    <t>Sd</t>
  </si>
  <si>
    <t>Rho</t>
  </si>
  <si>
    <t>Kd</t>
  </si>
  <si>
    <t>Md</t>
  </si>
  <si>
    <t>Dd</t>
  </si>
  <si>
    <t>Bl</t>
  </si>
  <si>
    <t>Vb</t>
  </si>
  <si>
    <t>Air Density</t>
  </si>
  <si>
    <t>Speed of Sound</t>
  </si>
  <si>
    <t>Driver Resonant Frequency</t>
  </si>
  <si>
    <t>Driver Electrical Q</t>
  </si>
  <si>
    <t>Driver Equivalent Volume</t>
  </si>
  <si>
    <t>Driver Cone Area</t>
  </si>
  <si>
    <t>Driver Maximum Excursion</t>
  </si>
  <si>
    <t>Symbol</t>
  </si>
  <si>
    <t>Units</t>
  </si>
  <si>
    <t>Value</t>
  </si>
  <si>
    <t>Kg/m^3</t>
  </si>
  <si>
    <t>m/s</t>
  </si>
  <si>
    <t>W</t>
  </si>
  <si>
    <t>H</t>
  </si>
  <si>
    <t>Hz</t>
  </si>
  <si>
    <t>-</t>
  </si>
  <si>
    <t>m^3</t>
  </si>
  <si>
    <t>m^2</t>
  </si>
  <si>
    <t>m</t>
  </si>
  <si>
    <t>Driver Total Q</t>
  </si>
  <si>
    <t>Driver Moving Mass</t>
  </si>
  <si>
    <t>Driver Viscous Damping</t>
  </si>
  <si>
    <t>Driver Force Factor</t>
  </si>
  <si>
    <t>N/m</t>
  </si>
  <si>
    <t>Kg</t>
  </si>
  <si>
    <t>Kg/s</t>
  </si>
  <si>
    <t>N/A</t>
  </si>
  <si>
    <t>Box Volume</t>
  </si>
  <si>
    <t>Box Tuning Frequency</t>
  </si>
  <si>
    <t>Physical Parameters</t>
  </si>
  <si>
    <t>Parameter Input</t>
  </si>
  <si>
    <t>Calculated Parameters</t>
  </si>
  <si>
    <t>SS</t>
  </si>
  <si>
    <t>Fb</t>
  </si>
  <si>
    <t>Box Leakage Q</t>
  </si>
  <si>
    <t>Qbl</t>
  </si>
  <si>
    <t>Box Leakage Viscous Damping</t>
  </si>
  <si>
    <t>Dbl</t>
  </si>
  <si>
    <t>Freq [Hz]</t>
  </si>
  <si>
    <t>Driver Mechanical Stiffness</t>
  </si>
  <si>
    <t>Driver Mechanical Q</t>
  </si>
  <si>
    <t>Re</t>
  </si>
  <si>
    <t>Le</t>
  </si>
  <si>
    <t>Xdmax</t>
  </si>
  <si>
    <t>Vanatoo's Ported Loudspeaker Model</t>
  </si>
  <si>
    <t>Sp</t>
  </si>
  <si>
    <t>Port Maximum Velocity</t>
  </si>
  <si>
    <t>Vpm</t>
  </si>
  <si>
    <t>Port Area</t>
  </si>
  <si>
    <t>Voice Coil Resistance</t>
  </si>
  <si>
    <t>Voice Coil Inductance</t>
  </si>
  <si>
    <t>Driver One Volt Sensitivity</t>
  </si>
  <si>
    <t>SensV</t>
  </si>
  <si>
    <t>dB/V*m</t>
  </si>
  <si>
    <t>Qms</t>
  </si>
  <si>
    <t>Qes</t>
  </si>
  <si>
    <t>Qts</t>
  </si>
  <si>
    <t>Port Moving Mass</t>
  </si>
  <si>
    <t>Box Stiffness to Port</t>
  </si>
  <si>
    <t>Kbp</t>
  </si>
  <si>
    <t>Mp</t>
  </si>
  <si>
    <t>Freq [rad/s]</t>
  </si>
  <si>
    <t>Xd 1</t>
  </si>
  <si>
    <t>Bw</t>
  </si>
  <si>
    <t>Vd1</t>
  </si>
  <si>
    <t>Vp 1</t>
  </si>
  <si>
    <t>|Xd 1| [mm]</t>
  </si>
  <si>
    <t>|VP 1| [m/s]</t>
  </si>
  <si>
    <t>SPd 1</t>
  </si>
  <si>
    <t>SPp 1</t>
  </si>
  <si>
    <t>SPL 1</t>
  </si>
  <si>
    <t>Calculated Driver Parameters</t>
  </si>
  <si>
    <t>Max 1 Volt Driver Displacement</t>
  </si>
  <si>
    <t>Max 1 Volt Port Velocity</t>
  </si>
  <si>
    <t>Port Length</t>
  </si>
  <si>
    <t>Max |Xd1|</t>
  </si>
  <si>
    <t>mm</t>
  </si>
  <si>
    <t>Recommended Port Length</t>
  </si>
  <si>
    <t>Lp</t>
  </si>
  <si>
    <t>Max Drive Voltage Based on Port</t>
  </si>
  <si>
    <t>SpR</t>
  </si>
  <si>
    <t>LpR</t>
  </si>
  <si>
    <t>Port Diameter</t>
  </si>
  <si>
    <t>Dp</t>
  </si>
  <si>
    <t>MVp</t>
  </si>
  <si>
    <t>MVd</t>
  </si>
  <si>
    <t>Max Port Length that will Comfortably Fit</t>
  </si>
  <si>
    <t>LpM</t>
  </si>
  <si>
    <t>V</t>
  </si>
  <si>
    <t>Design Check</t>
  </si>
  <si>
    <t>1VXd</t>
  </si>
  <si>
    <t>1VVp</t>
  </si>
  <si>
    <t>Im Freq</t>
  </si>
  <si>
    <t>Driver T/S Input Parameters</t>
  </si>
  <si>
    <t>Port Input Parameters</t>
  </si>
  <si>
    <t>Maximum Drive Voltage</t>
  </si>
  <si>
    <t>MaxV</t>
  </si>
  <si>
    <t>Max Drive Voltage Based on Woofer</t>
  </si>
  <si>
    <t>SPdM</t>
  </si>
  <si>
    <t>SPpM</t>
  </si>
  <si>
    <t>SPLM</t>
  </si>
  <si>
    <t>Maximum Output</t>
  </si>
  <si>
    <t>XdV</t>
  </si>
  <si>
    <t>VpV</t>
  </si>
  <si>
    <t>One Volt Solution for Displacements, Velocities, Sound Pressures, and Impedance</t>
  </si>
  <si>
    <t>Ph Zin</t>
  </si>
  <si>
    <t>|Zin|</t>
  </si>
  <si>
    <t>Box Input Parameters</t>
  </si>
  <si>
    <t>Sheet Password:</t>
  </si>
  <si>
    <t>Recommended Port Area</t>
  </si>
  <si>
    <t>Opensesame</t>
  </si>
  <si>
    <t>Only highlighted input parameters in the boxes in column E can be changed by the user without "unprotecting" the sheet with the password!</t>
  </si>
  <si>
    <t>Power</t>
  </si>
  <si>
    <t>Watts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</si>
</sst>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0"/>
    <numFmt numFmtId="165" formatCode="0.0"/>
    <numFmt numFmtId="166" formatCode="0.000"/>
    <numFmt numFmtId="167" formatCode="0.0000"/>
    <numFmt numFmtId="168" formatCode="0.000000"/>
    <numFmt numFmtId="169" formatCode="#,##0.0"/>
    <numFmt numFmtId="170" formatCode="#,##0.000"/>
    <numFmt numFmtId="171" formatCode="#,##0.00000"/>
  </numFmts>
  <fonts count="12" x14ac:knownFonts="1">
    <font>
      <sz val="10"/>
      <name val="Arial"/>
    </font>
    <font>
      <sz val="8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sz val="14"/>
      <color rgb="FFFF0000"/>
      <name val="Arial"/>
      <family val="2"/>
    </font>
    <font>
      <sz val="2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4" xfId="0" applyFont="1" applyBorder="1" applyAlignment="1" applyProtection="1">
      <alignment horizontal="left" indent="1"/>
    </xf>
    <xf numFmtId="165" fontId="0" fillId="0" borderId="0" xfId="0" applyNumberFormat="1" applyBorder="1" applyAlignment="1" applyProtection="1">
      <alignment horizontal="right" indent="1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 indent="1"/>
    </xf>
    <xf numFmtId="0" fontId="5" fillId="0" borderId="4" xfId="0" applyFont="1" applyBorder="1" applyAlignment="1" applyProtection="1">
      <alignment horizontal="left" indent="1"/>
    </xf>
    <xf numFmtId="165" fontId="5" fillId="0" borderId="0" xfId="0" applyNumberFormat="1" applyFont="1" applyBorder="1" applyAlignment="1" applyProtection="1">
      <alignment horizontal="right" indent="1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left" indent="2"/>
    </xf>
    <xf numFmtId="0" fontId="0" fillId="0" borderId="4" xfId="0" applyBorder="1" applyAlignment="1" applyProtection="1">
      <alignment horizontal="left" indent="2"/>
    </xf>
    <xf numFmtId="0" fontId="5" fillId="0" borderId="4" xfId="0" applyFont="1" applyBorder="1" applyAlignment="1" applyProtection="1">
      <alignment horizontal="left" indent="2"/>
    </xf>
    <xf numFmtId="1" fontId="0" fillId="0" borderId="5" xfId="0" applyNumberFormat="1" applyBorder="1" applyAlignment="1" applyProtection="1">
      <alignment horizontal="center"/>
    </xf>
    <xf numFmtId="167" fontId="0" fillId="0" borderId="5" xfId="0" applyNumberForma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168" fontId="0" fillId="0" borderId="5" xfId="0" applyNumberFormat="1" applyBorder="1" applyAlignment="1" applyProtection="1">
      <alignment horizontal="center"/>
    </xf>
    <xf numFmtId="170" fontId="0" fillId="0" borderId="5" xfId="0" applyNumberFormat="1" applyBorder="1" applyAlignment="1" applyProtection="1">
      <alignment horizontal="center"/>
    </xf>
    <xf numFmtId="0" fontId="0" fillId="3" borderId="38" xfId="0" applyFill="1" applyBorder="1" applyProtection="1"/>
    <xf numFmtId="165" fontId="0" fillId="3" borderId="39" xfId="0" applyNumberFormat="1" applyFill="1" applyBorder="1" applyAlignment="1" applyProtection="1">
      <alignment horizontal="right" indent="1"/>
    </xf>
    <xf numFmtId="0" fontId="0" fillId="3" borderId="39" xfId="0" applyFill="1" applyBorder="1" applyAlignment="1" applyProtection="1">
      <alignment horizontal="center"/>
    </xf>
    <xf numFmtId="0" fontId="0" fillId="3" borderId="40" xfId="0" applyFill="1" applyBorder="1" applyAlignment="1" applyProtection="1">
      <alignment horizontal="center"/>
    </xf>
    <xf numFmtId="0" fontId="0" fillId="0" borderId="4" xfId="0" applyFill="1" applyBorder="1" applyProtection="1"/>
    <xf numFmtId="165" fontId="0" fillId="0" borderId="0" xfId="0" applyNumberForma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left" indent="1"/>
    </xf>
    <xf numFmtId="0" fontId="5" fillId="0" borderId="4" xfId="0" applyFont="1" applyFill="1" applyBorder="1" applyAlignment="1" applyProtection="1">
      <alignment horizontal="left" indent="1"/>
    </xf>
    <xf numFmtId="166" fontId="0" fillId="0" borderId="5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0" fontId="5" fillId="0" borderId="6" xfId="0" applyFont="1" applyBorder="1" applyAlignment="1" applyProtection="1">
      <alignment horizontal="left" indent="1"/>
    </xf>
    <xf numFmtId="165" fontId="5" fillId="0" borderId="7" xfId="0" applyNumberFormat="1" applyFont="1" applyBorder="1" applyAlignment="1" applyProtection="1">
      <alignment horizontal="right" indent="1"/>
    </xf>
    <xf numFmtId="0" fontId="5" fillId="0" borderId="7" xfId="0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 indent="1"/>
    </xf>
    <xf numFmtId="165" fontId="4" fillId="0" borderId="2" xfId="0" applyNumberFormat="1" applyFont="1" applyBorder="1" applyAlignment="1" applyProtection="1">
      <alignment horizontal="right" vertical="center" inden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Protection="1"/>
    <xf numFmtId="165" fontId="0" fillId="0" borderId="0" xfId="0" applyNumberFormat="1" applyAlignment="1" applyProtection="1">
      <alignment horizontal="right" indent="1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11" fillId="0" borderId="0" xfId="0" applyFont="1" applyAlignment="1" applyProtection="1">
      <alignment horizontal="right" indent="1"/>
    </xf>
    <xf numFmtId="0" fontId="7" fillId="0" borderId="0" xfId="0" applyFont="1" applyAlignment="1" applyProtection="1">
      <alignment horizontal="center"/>
    </xf>
    <xf numFmtId="0" fontId="8" fillId="0" borderId="0" xfId="0" applyFont="1" applyProtection="1"/>
    <xf numFmtId="2" fontId="0" fillId="0" borderId="0" xfId="0" applyNumberFormat="1" applyProtection="1"/>
    <xf numFmtId="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5" fillId="0" borderId="0" xfId="0" applyNumberFormat="1" applyFont="1" applyAlignment="1" applyProtection="1">
      <alignment horizontal="right" indent="1"/>
    </xf>
    <xf numFmtId="165" fontId="3" fillId="0" borderId="19" xfId="0" applyNumberFormat="1" applyFont="1" applyBorder="1" applyAlignment="1" applyProtection="1">
      <alignment horizontal="right" indent="1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2" fontId="3" fillId="0" borderId="20" xfId="0" applyNumberFormat="1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center"/>
    </xf>
    <xf numFmtId="2" fontId="3" fillId="0" borderId="21" xfId="0" applyNumberFormat="1" applyFont="1" applyBorder="1" applyAlignment="1" applyProtection="1">
      <alignment horizontal="center"/>
    </xf>
    <xf numFmtId="165" fontId="3" fillId="0" borderId="30" xfId="0" applyNumberFormat="1" applyFont="1" applyFill="1" applyBorder="1" applyAlignment="1" applyProtection="1">
      <alignment horizontal="right" indent="2"/>
    </xf>
    <xf numFmtId="165" fontId="3" fillId="0" borderId="36" xfId="0" applyNumberFormat="1" applyFont="1" applyFill="1" applyBorder="1" applyAlignment="1" applyProtection="1">
      <alignment horizontal="right" indent="2"/>
    </xf>
    <xf numFmtId="0" fontId="3" fillId="0" borderId="29" xfId="0" applyFont="1" applyBorder="1" applyAlignment="1" applyProtection="1">
      <alignment horizontal="center"/>
    </xf>
    <xf numFmtId="165" fontId="3" fillId="0" borderId="37" xfId="0" applyNumberFormat="1" applyFont="1" applyFill="1" applyBorder="1" applyAlignment="1" applyProtection="1">
      <alignment horizontal="right" indent="2"/>
    </xf>
    <xf numFmtId="165" fontId="3" fillId="0" borderId="30" xfId="0" applyNumberFormat="1" applyFont="1" applyFill="1" applyBorder="1" applyAlignment="1" applyProtection="1">
      <alignment horizontal="center"/>
    </xf>
    <xf numFmtId="165" fontId="3" fillId="0" borderId="36" xfId="0" applyNumberFormat="1" applyFont="1" applyFill="1" applyBorder="1" applyAlignment="1" applyProtection="1">
      <alignment horizontal="center"/>
    </xf>
    <xf numFmtId="165" fontId="0" fillId="0" borderId="9" xfId="0" applyNumberFormat="1" applyFill="1" applyBorder="1" applyAlignment="1" applyProtection="1">
      <alignment horizontal="right" indent="1"/>
    </xf>
    <xf numFmtId="4" fontId="0" fillId="0" borderId="10" xfId="0" applyNumberFormat="1" applyFill="1" applyBorder="1" applyAlignment="1" applyProtection="1">
      <alignment horizontal="center"/>
    </xf>
    <xf numFmtId="4" fontId="9" fillId="0" borderId="11" xfId="0" applyNumberFormat="1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2" fontId="1" fillId="0" borderId="10" xfId="0" applyNumberFormat="1" applyFont="1" applyBorder="1" applyAlignment="1" applyProtection="1">
      <alignment horizontal="right" indent="1"/>
    </xf>
    <xf numFmtId="2" fontId="1" fillId="0" borderId="34" xfId="0" applyNumberFormat="1" applyFont="1" applyBorder="1" applyAlignment="1" applyProtection="1">
      <alignment horizontal="right" indent="1"/>
    </xf>
    <xf numFmtId="2" fontId="1" fillId="0" borderId="11" xfId="0" applyNumberFormat="1" applyFont="1" applyBorder="1" applyAlignment="1" applyProtection="1">
      <alignment horizontal="right" indent="1"/>
    </xf>
    <xf numFmtId="165" fontId="1" fillId="0" borderId="10" xfId="0" applyNumberFormat="1" applyFont="1" applyBorder="1" applyAlignment="1" applyProtection="1">
      <alignment horizontal="right" indent="2"/>
    </xf>
    <xf numFmtId="165" fontId="1" fillId="0" borderId="11" xfId="0" applyNumberFormat="1" applyFont="1" applyBorder="1" applyAlignment="1" applyProtection="1">
      <alignment horizontal="right" indent="2"/>
    </xf>
    <xf numFmtId="165" fontId="1" fillId="0" borderId="25" xfId="0" applyNumberFormat="1" applyFont="1" applyBorder="1" applyAlignment="1" applyProtection="1">
      <alignment horizontal="right" indent="1"/>
    </xf>
    <xf numFmtId="165" fontId="1" fillId="0" borderId="31" xfId="0" applyNumberFormat="1" applyFont="1" applyBorder="1" applyAlignment="1" applyProtection="1">
      <alignment horizontal="right" indent="2"/>
    </xf>
    <xf numFmtId="165" fontId="1" fillId="0" borderId="32" xfId="0" applyNumberFormat="1" applyFont="1" applyBorder="1" applyAlignment="1" applyProtection="1">
      <alignment horizontal="right" indent="2"/>
    </xf>
    <xf numFmtId="165" fontId="1" fillId="0" borderId="32" xfId="0" applyNumberFormat="1" applyFont="1" applyBorder="1" applyAlignment="1" applyProtection="1">
      <alignment horizontal="right" indent="1"/>
    </xf>
    <xf numFmtId="165" fontId="1" fillId="0" borderId="10" xfId="0" applyNumberFormat="1" applyFont="1" applyBorder="1" applyAlignment="1" applyProtection="1">
      <alignment horizontal="right" indent="1"/>
    </xf>
    <xf numFmtId="165" fontId="1" fillId="0" borderId="11" xfId="0" applyNumberFormat="1" applyFont="1" applyBorder="1" applyAlignment="1" applyProtection="1">
      <alignment horizontal="right" indent="1"/>
    </xf>
    <xf numFmtId="165" fontId="0" fillId="0" borderId="12" xfId="0" applyNumberFormat="1" applyFill="1" applyBorder="1" applyAlignment="1" applyProtection="1">
      <alignment horizontal="right" indent="1"/>
    </xf>
    <xf numFmtId="4" fontId="0" fillId="0" borderId="13" xfId="0" applyNumberFormat="1" applyFill="1" applyBorder="1" applyAlignment="1" applyProtection="1">
      <alignment horizontal="center"/>
    </xf>
    <xf numFmtId="4" fontId="9" fillId="0" borderId="14" xfId="0" applyNumberFormat="1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2" fontId="1" fillId="0" borderId="13" xfId="0" applyNumberFormat="1" applyFont="1" applyBorder="1" applyAlignment="1" applyProtection="1">
      <alignment horizontal="right" indent="1"/>
    </xf>
    <xf numFmtId="2" fontId="1" fillId="0" borderId="14" xfId="0" applyNumberFormat="1" applyFont="1" applyBorder="1" applyAlignment="1" applyProtection="1">
      <alignment horizontal="right" indent="1"/>
    </xf>
    <xf numFmtId="165" fontId="1" fillId="0" borderId="24" xfId="0" applyNumberFormat="1" applyFont="1" applyBorder="1" applyAlignment="1" applyProtection="1">
      <alignment horizontal="right" indent="2"/>
    </xf>
    <xf numFmtId="165" fontId="1" fillId="0" borderId="13" xfId="0" applyNumberFormat="1" applyFont="1" applyBorder="1" applyAlignment="1" applyProtection="1">
      <alignment horizontal="right" indent="1"/>
    </xf>
    <xf numFmtId="165" fontId="1" fillId="0" borderId="14" xfId="0" applyNumberFormat="1" applyFont="1" applyBorder="1" applyAlignment="1" applyProtection="1">
      <alignment horizontal="right" indent="1"/>
    </xf>
    <xf numFmtId="165" fontId="0" fillId="0" borderId="12" xfId="0" applyNumberFormat="1" applyBorder="1" applyAlignment="1" applyProtection="1">
      <alignment horizontal="right" indent="1"/>
    </xf>
    <xf numFmtId="4" fontId="0" fillId="0" borderId="16" xfId="0" applyNumberFormat="1" applyFill="1" applyBorder="1" applyAlignment="1" applyProtection="1">
      <alignment horizontal="center"/>
    </xf>
    <xf numFmtId="4" fontId="9" fillId="0" borderId="17" xfId="0" applyNumberFormat="1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2" fontId="1" fillId="0" borderId="16" xfId="0" applyNumberFormat="1" applyFont="1" applyBorder="1" applyAlignment="1" applyProtection="1">
      <alignment horizontal="right" indent="1"/>
    </xf>
    <xf numFmtId="2" fontId="1" fillId="0" borderId="35" xfId="0" applyNumberFormat="1" applyFont="1" applyBorder="1" applyAlignment="1" applyProtection="1">
      <alignment horizontal="right" indent="1"/>
    </xf>
    <xf numFmtId="2" fontId="1" fillId="0" borderId="17" xfId="0" applyNumberFormat="1" applyFont="1" applyBorder="1" applyAlignment="1" applyProtection="1">
      <alignment horizontal="right" indent="1"/>
    </xf>
    <xf numFmtId="165" fontId="1" fillId="0" borderId="16" xfId="0" applyNumberFormat="1" applyFont="1" applyBorder="1" applyAlignment="1" applyProtection="1">
      <alignment horizontal="right" indent="2"/>
    </xf>
    <xf numFmtId="165" fontId="1" fillId="0" borderId="27" xfId="0" applyNumberFormat="1" applyFont="1" applyBorder="1" applyAlignment="1" applyProtection="1">
      <alignment horizontal="right" indent="2"/>
    </xf>
    <xf numFmtId="165" fontId="1" fillId="0" borderId="16" xfId="0" applyNumberFormat="1" applyFont="1" applyBorder="1" applyAlignment="1" applyProtection="1">
      <alignment horizontal="right" indent="1"/>
    </xf>
    <xf numFmtId="165" fontId="1" fillId="0" borderId="17" xfId="0" applyNumberFormat="1" applyFont="1" applyBorder="1" applyAlignment="1" applyProtection="1">
      <alignment horizontal="right" indent="1"/>
    </xf>
    <xf numFmtId="165" fontId="0" fillId="0" borderId="15" xfId="0" applyNumberFormat="1" applyBorder="1" applyAlignment="1" applyProtection="1">
      <alignment horizontal="right" indent="1"/>
    </xf>
    <xf numFmtId="165" fontId="1" fillId="0" borderId="17" xfId="0" applyNumberFormat="1" applyFont="1" applyBorder="1" applyAlignment="1" applyProtection="1">
      <alignment horizontal="right" indent="2"/>
    </xf>
    <xf numFmtId="165" fontId="1" fillId="0" borderId="28" xfId="0" applyNumberFormat="1" applyFont="1" applyBorder="1" applyAlignment="1" applyProtection="1">
      <alignment horizontal="right" indent="1"/>
    </xf>
    <xf numFmtId="167" fontId="0" fillId="4" borderId="41" xfId="0" applyNumberFormat="1" applyFill="1" applyBorder="1" applyAlignment="1" applyProtection="1">
      <alignment horizontal="center"/>
      <protection locked="0"/>
    </xf>
    <xf numFmtId="165" fontId="0" fillId="4" borderId="42" xfId="0" applyNumberFormat="1" applyFill="1" applyBorder="1" applyAlignment="1" applyProtection="1">
      <alignment horizontal="center"/>
      <protection locked="0"/>
    </xf>
    <xf numFmtId="1" fontId="0" fillId="4" borderId="43" xfId="0" applyNumberFormat="1" applyFill="1" applyBorder="1" applyAlignment="1" applyProtection="1">
      <alignment horizontal="center"/>
      <protection locked="0"/>
    </xf>
    <xf numFmtId="2" fontId="0" fillId="4" borderId="41" xfId="0" applyNumberFormat="1" applyFill="1" applyBorder="1" applyAlignment="1" applyProtection="1">
      <alignment horizontal="center"/>
      <protection locked="0"/>
    </xf>
    <xf numFmtId="164" fontId="0" fillId="4" borderId="42" xfId="0" applyNumberFormat="1" applyFill="1" applyBorder="1" applyAlignment="1" applyProtection="1">
      <alignment horizontal="center"/>
      <protection locked="0"/>
    </xf>
    <xf numFmtId="2" fontId="0" fillId="4" borderId="42" xfId="0" applyNumberFormat="1" applyFill="1" applyBorder="1" applyAlignment="1" applyProtection="1">
      <alignment horizontal="center"/>
      <protection locked="0"/>
    </xf>
    <xf numFmtId="166" fontId="0" fillId="4" borderId="42" xfId="0" applyNumberFormat="1" applyFill="1" applyBorder="1" applyAlignment="1" applyProtection="1">
      <alignment horizontal="center"/>
      <protection locked="0"/>
    </xf>
    <xf numFmtId="171" fontId="0" fillId="4" borderId="42" xfId="0" applyNumberFormat="1" applyFill="1" applyBorder="1" applyAlignment="1" applyProtection="1">
      <alignment horizontal="center"/>
      <protection locked="0"/>
    </xf>
    <xf numFmtId="167" fontId="0" fillId="4" borderId="42" xfId="0" applyNumberFormat="1" applyFill="1" applyBorder="1" applyAlignment="1" applyProtection="1">
      <alignment horizontal="center"/>
      <protection locked="0"/>
    </xf>
    <xf numFmtId="165" fontId="0" fillId="4" borderId="43" xfId="0" applyNumberFormat="1" applyFill="1" applyBorder="1" applyAlignment="1" applyProtection="1">
      <alignment horizontal="center"/>
      <protection locked="0"/>
    </xf>
    <xf numFmtId="164" fontId="0" fillId="4" borderId="4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/>
    </xf>
    <xf numFmtId="166" fontId="0" fillId="0" borderId="40" xfId="0" applyNumberFormat="1" applyFill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3" fillId="0" borderId="48" xfId="0" applyFont="1" applyBorder="1" applyAlignment="1" applyProtection="1">
      <alignment horizontal="center"/>
    </xf>
    <xf numFmtId="165" fontId="0" fillId="0" borderId="47" xfId="0" applyNumberFormat="1" applyBorder="1" applyAlignment="1" applyProtection="1">
      <alignment horizontal="right" indent="2"/>
    </xf>
    <xf numFmtId="165" fontId="0" fillId="0" borderId="45" xfId="0" applyNumberFormat="1" applyBorder="1" applyAlignment="1" applyProtection="1">
      <alignment horizontal="right" indent="2"/>
    </xf>
    <xf numFmtId="165" fontId="0" fillId="0" borderId="46" xfId="0" applyNumberFormat="1" applyBorder="1" applyAlignment="1" applyProtection="1">
      <alignment horizontal="right" indent="2"/>
    </xf>
    <xf numFmtId="0" fontId="6" fillId="0" borderId="0" xfId="0" applyFont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SPL vs Frequency for Maximum</a:t>
            </a:r>
            <a:r>
              <a:rPr lang="en-US" baseline="0"/>
              <a:t> </a:t>
            </a:r>
            <a:r>
              <a:rPr lang="en-US"/>
              <a:t>Voltage</a:t>
            </a:r>
            <a:r>
              <a:rPr lang="en-US" baseline="0"/>
              <a:t> Input</a:t>
            </a:r>
            <a:endParaRPr lang="en-US"/>
          </a:p>
        </c:rich>
      </c:tx>
      <c:layout>
        <c:manualLayout>
          <c:xMode val="edge"/>
          <c:yMode val="edge"/>
          <c:x val="0.27088047966916101"/>
          <c:y val="2.8571428571428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2853834635697E-2"/>
          <c:y val="0.15535714285714286"/>
          <c:w val="0.70090332081032691"/>
          <c:h val="0.71250000000000002"/>
        </c:manualLayout>
      </c:layout>
      <c:scatterChart>
        <c:scatterStyle val="lineMarker"/>
        <c:varyColors val="0"/>
        <c:ser>
          <c:idx val="0"/>
          <c:order val="0"/>
          <c:tx>
            <c:v>Driver SPL</c:v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Model'!$T$167:$T$367</c:f>
              <c:numCache>
                <c:formatCode>0.0</c:formatCode>
                <c:ptCount val="201"/>
                <c:pt idx="0">
                  <c:v>85.206201436061406</c:v>
                </c:pt>
                <c:pt idx="1">
                  <c:v>85.551173794810211</c:v>
                </c:pt>
                <c:pt idx="2">
                  <c:v>85.900241378366388</c:v>
                </c:pt>
                <c:pt idx="3">
                  <c:v>86.252440797093101</c:v>
                </c:pt>
                <c:pt idx="4">
                  <c:v>86.579981825090826</c:v>
                </c:pt>
                <c:pt idx="5">
                  <c:v>86.923537217631321</c:v>
                </c:pt>
                <c:pt idx="6">
                  <c:v>87.255753213271419</c:v>
                </c:pt>
                <c:pt idx="7">
                  <c:v>87.589142011846008</c:v>
                </c:pt>
                <c:pt idx="8">
                  <c:v>87.911082969280443</c:v>
                </c:pt>
                <c:pt idx="9">
                  <c:v>88.23322815741929</c:v>
                </c:pt>
                <c:pt idx="10">
                  <c:v>88.554671866782144</c:v>
                </c:pt>
                <c:pt idx="11">
                  <c:v>88.864047124600916</c:v>
                </c:pt>
                <c:pt idx="12">
                  <c:v>89.171732892606229</c:v>
                </c:pt>
                <c:pt idx="13">
                  <c:v>89.476807367479552</c:v>
                </c:pt>
                <c:pt idx="14">
                  <c:v>89.769112510843058</c:v>
                </c:pt>
                <c:pt idx="15">
                  <c:v>90.066552031430888</c:v>
                </c:pt>
                <c:pt idx="16">
                  <c:v>90.341726849577725</c:v>
                </c:pt>
                <c:pt idx="17">
                  <c:v>90.620053190546571</c:v>
                </c:pt>
                <c:pt idx="18">
                  <c:v>90.89167273255552</c:v>
                </c:pt>
                <c:pt idx="19">
                  <c:v>91.14836736918511</c:v>
                </c:pt>
                <c:pt idx="20">
                  <c:v>91.396966718918492</c:v>
                </c:pt>
                <c:pt idx="21">
                  <c:v>91.636260170208175</c:v>
                </c:pt>
                <c:pt idx="22">
                  <c:v>91.86495179250241</c:v>
                </c:pt>
                <c:pt idx="23">
                  <c:v>92.076316073380951</c:v>
                </c:pt>
                <c:pt idx="24">
                  <c:v>92.279973143932352</c:v>
                </c:pt>
                <c:pt idx="25">
                  <c:v>92.464113372909395</c:v>
                </c:pt>
                <c:pt idx="26">
                  <c:v>92.636130649152904</c:v>
                </c:pt>
                <c:pt idx="27">
                  <c:v>92.785849029952544</c:v>
                </c:pt>
                <c:pt idx="28">
                  <c:v>92.915430023535407</c:v>
                </c:pt>
                <c:pt idx="29">
                  <c:v>93.024542701323867</c:v>
                </c:pt>
                <c:pt idx="30">
                  <c:v>93.105536546342734</c:v>
                </c:pt>
                <c:pt idx="31">
                  <c:v>93.158783261406569</c:v>
                </c:pt>
                <c:pt idx="32">
                  <c:v>93.178398003106878</c:v>
                </c:pt>
                <c:pt idx="33">
                  <c:v>93.161005888229454</c:v>
                </c:pt>
                <c:pt idx="34">
                  <c:v>93.100927244113024</c:v>
                </c:pt>
                <c:pt idx="35">
                  <c:v>92.992526616306208</c:v>
                </c:pt>
                <c:pt idx="36">
                  <c:v>92.829299118448375</c:v>
                </c:pt>
                <c:pt idx="37">
                  <c:v>92.603733782856438</c:v>
                </c:pt>
                <c:pt idx="38">
                  <c:v>92.301012803872169</c:v>
                </c:pt>
                <c:pt idx="39">
                  <c:v>91.914481929823069</c:v>
                </c:pt>
                <c:pt idx="40">
                  <c:v>91.432528381430927</c:v>
                </c:pt>
                <c:pt idx="41">
                  <c:v>90.842629349163246</c:v>
                </c:pt>
                <c:pt idx="42">
                  <c:v>90.119648360382314</c:v>
                </c:pt>
                <c:pt idx="43">
                  <c:v>89.249636991907778</c:v>
                </c:pt>
                <c:pt idx="44">
                  <c:v>88.267145406420838</c:v>
                </c:pt>
                <c:pt idx="45">
                  <c:v>87.187234965885096</c:v>
                </c:pt>
                <c:pt idx="46">
                  <c:v>86.148531908739926</c:v>
                </c:pt>
                <c:pt idx="47">
                  <c:v>85.461396122886541</c:v>
                </c:pt>
                <c:pt idx="48">
                  <c:v>85.482504480474546</c:v>
                </c:pt>
                <c:pt idx="49">
                  <c:v>86.30205611822592</c:v>
                </c:pt>
                <c:pt idx="50">
                  <c:v>87.632976386929727</c:v>
                </c:pt>
                <c:pt idx="51">
                  <c:v>89.126293207637588</c:v>
                </c:pt>
                <c:pt idx="52">
                  <c:v>90.55984555604951</c:v>
                </c:pt>
                <c:pt idx="53">
                  <c:v>91.87666068455141</c:v>
                </c:pt>
                <c:pt idx="54">
                  <c:v>93.05817344319513</c:v>
                </c:pt>
                <c:pt idx="55">
                  <c:v>94.109113368965268</c:v>
                </c:pt>
                <c:pt idx="56">
                  <c:v>95.041941297492428</c:v>
                </c:pt>
                <c:pt idx="57">
                  <c:v>95.861579334036776</c:v>
                </c:pt>
                <c:pt idx="58">
                  <c:v>96.60067839053329</c:v>
                </c:pt>
                <c:pt idx="59">
                  <c:v>97.253735492529813</c:v>
                </c:pt>
                <c:pt idx="60">
                  <c:v>97.845832543957357</c:v>
                </c:pt>
                <c:pt idx="61">
                  <c:v>98.377970361731826</c:v>
                </c:pt>
                <c:pt idx="62">
                  <c:v>98.857802402484168</c:v>
                </c:pt>
                <c:pt idx="63">
                  <c:v>99.291876050734231</c:v>
                </c:pt>
                <c:pt idx="64">
                  <c:v>99.685795029968006</c:v>
                </c:pt>
                <c:pt idx="65">
                  <c:v>100.04771633301564</c:v>
                </c:pt>
                <c:pt idx="66">
                  <c:v>100.37771372628296</c:v>
                </c:pt>
                <c:pt idx="67">
                  <c:v>100.67947091960875</c:v>
                </c:pt>
                <c:pt idx="68">
                  <c:v>100.95858938617027</c:v>
                </c:pt>
                <c:pt idx="69">
                  <c:v>101.21709918381057</c:v>
                </c:pt>
                <c:pt idx="70">
                  <c:v>101.45484542359168</c:v>
                </c:pt>
                <c:pt idx="71">
                  <c:v>101.67582765785696</c:v>
                </c:pt>
                <c:pt idx="72">
                  <c:v>101.87983002452532</c:v>
                </c:pt>
                <c:pt idx="73">
                  <c:v>102.07005954950895</c:v>
                </c:pt>
                <c:pt idx="74">
                  <c:v>102.24762487453043</c:v>
                </c:pt>
                <c:pt idx="75">
                  <c:v>102.41353047820672</c:v>
                </c:pt>
                <c:pt idx="76">
                  <c:v>102.56868718960939</c:v>
                </c:pt>
                <c:pt idx="77">
                  <c:v>102.71392178856209</c:v>
                </c:pt>
                <c:pt idx="78">
                  <c:v>102.85093638922652</c:v>
                </c:pt>
                <c:pt idx="79">
                  <c:v>102.97843565173142</c:v>
                </c:pt>
                <c:pt idx="80">
                  <c:v>103.09888069116718</c:v>
                </c:pt>
                <c:pt idx="81">
                  <c:v>103.21190964921806</c:v>
                </c:pt>
                <c:pt idx="82">
                  <c:v>103.31805976548148</c:v>
                </c:pt>
                <c:pt idx="83">
                  <c:v>103.41844790828841</c:v>
                </c:pt>
                <c:pt idx="84">
                  <c:v>103.51280088895686</c:v>
                </c:pt>
                <c:pt idx="85">
                  <c:v>103.60207657259576</c:v>
                </c:pt>
                <c:pt idx="86">
                  <c:v>103.68654296684474</c:v>
                </c:pt>
                <c:pt idx="87">
                  <c:v>103.76645682919101</c:v>
                </c:pt>
                <c:pt idx="88">
                  <c:v>103.84206356885699</c:v>
                </c:pt>
                <c:pt idx="89">
                  <c:v>103.91320852644341</c:v>
                </c:pt>
                <c:pt idx="90">
                  <c:v>103.98092109705766</c:v>
                </c:pt>
                <c:pt idx="91">
                  <c:v>104.04499320144072</c:v>
                </c:pt>
                <c:pt idx="92">
                  <c:v>104.10593507057095</c:v>
                </c:pt>
                <c:pt idx="93">
                  <c:v>104.16329788119842</c:v>
                </c:pt>
                <c:pt idx="94">
                  <c:v>104.21812647183103</c:v>
                </c:pt>
                <c:pt idx="95">
                  <c:v>104.26998485576905</c:v>
                </c:pt>
                <c:pt idx="96">
                  <c:v>104.31904422230383</c:v>
                </c:pt>
                <c:pt idx="97">
                  <c:v>104.36588972491433</c:v>
                </c:pt>
                <c:pt idx="98">
                  <c:v>104.41018914022035</c:v>
                </c:pt>
                <c:pt idx="99">
                  <c:v>104.45227538360027</c:v>
                </c:pt>
                <c:pt idx="100">
                  <c:v>104.49242044101663</c:v>
                </c:pt>
                <c:pt idx="101">
                  <c:v>104.53005698881444</c:v>
                </c:pt>
                <c:pt idx="102">
                  <c:v>104.56655722151189</c:v>
                </c:pt>
                <c:pt idx="103">
                  <c:v>104.60185374015128</c:v>
                </c:pt>
                <c:pt idx="104">
                  <c:v>104.63336884602688</c:v>
                </c:pt>
                <c:pt idx="105">
                  <c:v>104.66513717770712</c:v>
                </c:pt>
                <c:pt idx="106">
                  <c:v>104.69466670496359</c:v>
                </c:pt>
                <c:pt idx="107">
                  <c:v>104.72318509338547</c:v>
                </c:pt>
                <c:pt idx="108">
                  <c:v>104.74971904725297</c:v>
                </c:pt>
                <c:pt idx="109">
                  <c:v>104.77533396730959</c:v>
                </c:pt>
                <c:pt idx="110">
                  <c:v>104.80001122231926</c:v>
                </c:pt>
                <c:pt idx="111">
                  <c:v>104.82297758133734</c:v>
                </c:pt>
                <c:pt idx="112">
                  <c:v>104.84510135798976</c:v>
                </c:pt>
                <c:pt idx="113">
                  <c:v>104.8663767313609</c:v>
                </c:pt>
                <c:pt idx="114">
                  <c:v>104.88618789423768</c:v>
                </c:pt>
                <c:pt idx="115">
                  <c:v>104.90581655285652</c:v>
                </c:pt>
                <c:pt idx="116">
                  <c:v>104.92354270246915</c:v>
                </c:pt>
                <c:pt idx="117">
                  <c:v>104.94109494500893</c:v>
                </c:pt>
                <c:pt idx="118">
                  <c:v>104.95790946140221</c:v>
                </c:pt>
                <c:pt idx="119">
                  <c:v>104.97356813375873</c:v>
                </c:pt>
                <c:pt idx="120">
                  <c:v>104.98857798780628</c:v>
                </c:pt>
                <c:pt idx="121">
                  <c:v>105.00295110090545</c:v>
                </c:pt>
                <c:pt idx="122">
                  <c:v>105.01670165514383</c:v>
                </c:pt>
                <c:pt idx="123">
                  <c:v>105.02952002679299</c:v>
                </c:pt>
                <c:pt idx="124">
                  <c:v>105.04209687423207</c:v>
                </c:pt>
                <c:pt idx="125">
                  <c:v>105.05381829088566</c:v>
                </c:pt>
                <c:pt idx="126">
                  <c:v>105.06528837753365</c:v>
                </c:pt>
                <c:pt idx="127">
                  <c:v>105.07597763018603</c:v>
                </c:pt>
                <c:pt idx="128">
                  <c:v>105.08618505723894</c:v>
                </c:pt>
                <c:pt idx="129">
                  <c:v>105.09614100383993</c:v>
                </c:pt>
                <c:pt idx="130">
                  <c:v>105.10542074008407</c:v>
                </c:pt>
                <c:pt idx="131">
                  <c:v>105.11445597657956</c:v>
                </c:pt>
                <c:pt idx="132">
                  <c:v>105.12287991348248</c:v>
                </c:pt>
                <c:pt idx="133">
                  <c:v>105.13106979369212</c:v>
                </c:pt>
                <c:pt idx="134">
                  <c:v>105.13885902796525</c:v>
                </c:pt>
                <c:pt idx="135">
                  <c:v>105.14626617993883</c:v>
                </c:pt>
                <c:pt idx="136">
                  <c:v>105.1533092508476</c:v>
                </c:pt>
                <c:pt idx="137">
                  <c:v>105.16000564674746</c:v>
                </c:pt>
                <c:pt idx="138">
                  <c:v>105.16648597362231</c:v>
                </c:pt>
                <c:pt idx="139">
                  <c:v>105.1726373238937</c:v>
                </c:pt>
                <c:pt idx="140">
                  <c:v>105.17847685562134</c:v>
                </c:pt>
                <c:pt idx="141">
                  <c:v>105.18402092281215</c:v>
                </c:pt>
                <c:pt idx="142">
                  <c:v>105.18937124977515</c:v>
                </c:pt>
                <c:pt idx="143">
                  <c:v>105.19452531789477</c:v>
                </c:pt>
                <c:pt idx="144">
                  <c:v>105.1993325118346</c:v>
                </c:pt>
                <c:pt idx="145">
                  <c:v>105.20396324233747</c:v>
                </c:pt>
                <c:pt idx="146">
                  <c:v>105.20841717454107</c:v>
                </c:pt>
                <c:pt idx="147">
                  <c:v>105.21263431939894</c:v>
                </c:pt>
                <c:pt idx="148">
                  <c:v>105.21668541411694</c:v>
                </c:pt>
                <c:pt idx="149">
                  <c:v>105.22051933481154</c:v>
                </c:pt>
                <c:pt idx="150">
                  <c:v>105.22419859769366</c:v>
                </c:pt>
                <c:pt idx="151">
                  <c:v>105.22772561924231</c:v>
                </c:pt>
                <c:pt idx="152">
                  <c:v>105.23106043981798</c:v>
                </c:pt>
                <c:pt idx="153">
                  <c:v>105.23425520765485</c:v>
                </c:pt>
                <c:pt idx="154">
                  <c:v>105.23731315601029</c:v>
                </c:pt>
                <c:pt idx="155">
                  <c:v>105.24023785266459</c:v>
                </c:pt>
                <c:pt idx="156">
                  <c:v>105.24303312920506</c:v>
                </c:pt>
                <c:pt idx="157">
                  <c:v>105.24567267349869</c:v>
                </c:pt>
                <c:pt idx="158">
                  <c:v>105.24822339624592</c:v>
                </c:pt>
                <c:pt idx="159">
                  <c:v>105.25063062842017</c:v>
                </c:pt>
                <c:pt idx="160">
                  <c:v>105.2529533168528</c:v>
                </c:pt>
                <c:pt idx="161">
                  <c:v>105.25516750129427</c:v>
                </c:pt>
                <c:pt idx="162">
                  <c:v>105.25727753063381</c:v>
                </c:pt>
                <c:pt idx="163">
                  <c:v>105.25928771316148</c:v>
                </c:pt>
                <c:pt idx="164">
                  <c:v>105.26120229448543</c:v>
                </c:pt>
                <c:pt idx="165">
                  <c:v>105.26304287256312</c:v>
                </c:pt>
                <c:pt idx="166">
                  <c:v>105.264793760999</c:v>
                </c:pt>
                <c:pt idx="167">
                  <c:v>105.26645916531714</c:v>
                </c:pt>
                <c:pt idx="168">
                  <c:v>105.26805731768542</c:v>
                </c:pt>
                <c:pt idx="169">
                  <c:v>105.26958930756297</c:v>
                </c:pt>
                <c:pt idx="170">
                  <c:v>105.27104413490272</c:v>
                </c:pt>
                <c:pt idx="171">
                  <c:v>105.27243729735031</c:v>
                </c:pt>
                <c:pt idx="172">
                  <c:v>105.27375957186206</c:v>
                </c:pt>
                <c:pt idx="173">
                  <c:v>105.27502477025908</c:v>
                </c:pt>
                <c:pt idx="174">
                  <c:v>105.27623449693183</c:v>
                </c:pt>
                <c:pt idx="175">
                  <c:v>105.27739044523952</c:v>
                </c:pt>
                <c:pt idx="176">
                  <c:v>105.27849437378501</c:v>
                </c:pt>
                <c:pt idx="177">
                  <c:v>105.2795480855697</c:v>
                </c:pt>
                <c:pt idx="178">
                  <c:v>105.28056049645366</c:v>
                </c:pt>
                <c:pt idx="179">
                  <c:v>105.28151880031598</c:v>
                </c:pt>
                <c:pt idx="180">
                  <c:v>105.28243859624499</c:v>
                </c:pt>
                <c:pt idx="181">
                  <c:v>105.283314711305</c:v>
                </c:pt>
                <c:pt idx="182">
                  <c:v>105.2841490270678</c:v>
                </c:pt>
                <c:pt idx="183">
                  <c:v>105.2849484005244</c:v>
                </c:pt>
                <c:pt idx="184">
                  <c:v>105.28570894694278</c:v>
                </c:pt>
                <c:pt idx="185">
                  <c:v>105.2864368508078</c:v>
                </c:pt>
                <c:pt idx="186">
                  <c:v>105.28713299684281</c:v>
                </c:pt>
                <c:pt idx="187">
                  <c:v>105.28779832602322</c:v>
                </c:pt>
                <c:pt idx="188">
                  <c:v>105.28843382143762</c:v>
                </c:pt>
                <c:pt idx="189">
                  <c:v>105.28903718453572</c:v>
                </c:pt>
                <c:pt idx="190">
                  <c:v>105.28961629083636</c:v>
                </c:pt>
                <c:pt idx="191">
                  <c:v>105.29016863336179</c:v>
                </c:pt>
                <c:pt idx="192">
                  <c:v>105.29069794622174</c:v>
                </c:pt>
                <c:pt idx="193">
                  <c:v>105.29119970507509</c:v>
                </c:pt>
                <c:pt idx="194">
                  <c:v>105.29168250610786</c:v>
                </c:pt>
                <c:pt idx="195">
                  <c:v>105.29214204559187</c:v>
                </c:pt>
                <c:pt idx="196">
                  <c:v>105.29257937619627</c:v>
                </c:pt>
                <c:pt idx="197">
                  <c:v>105.29299933079113</c:v>
                </c:pt>
                <c:pt idx="198">
                  <c:v>105.29339858479219</c:v>
                </c:pt>
                <c:pt idx="199">
                  <c:v>105.29377980861636</c:v>
                </c:pt>
                <c:pt idx="200">
                  <c:v>105.29414519202425</c:v>
                </c:pt>
              </c:numCache>
            </c:numRef>
          </c:yVal>
          <c:smooth val="0"/>
        </c:ser>
        <c:ser>
          <c:idx val="1"/>
          <c:order val="1"/>
          <c:tx>
            <c:v>Port SPL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Model'!$U$167:$U$367</c:f>
              <c:numCache>
                <c:formatCode>0.0</c:formatCode>
                <c:ptCount val="201"/>
                <c:pt idx="0">
                  <c:v>86.21680592732011</c:v>
                </c:pt>
                <c:pt idx="1">
                  <c:v>86.611713156694904</c:v>
                </c:pt>
                <c:pt idx="2">
                  <c:v>87.014407534699799</c:v>
                </c:pt>
                <c:pt idx="3">
                  <c:v>87.424147685673034</c:v>
                </c:pt>
                <c:pt idx="4">
                  <c:v>87.808568417298886</c:v>
                </c:pt>
                <c:pt idx="5">
                  <c:v>88.215590643000581</c:v>
                </c:pt>
                <c:pt idx="6">
                  <c:v>88.613231497241117</c:v>
                </c:pt>
                <c:pt idx="7">
                  <c:v>89.016676519266952</c:v>
                </c:pt>
                <c:pt idx="8">
                  <c:v>89.410874684589089</c:v>
                </c:pt>
                <c:pt idx="9">
                  <c:v>89.810330359176135</c:v>
                </c:pt>
                <c:pt idx="10">
                  <c:v>90.214457600306559</c:v>
                </c:pt>
                <c:pt idx="11">
                  <c:v>90.609240422625419</c:v>
                </c:pt>
                <c:pt idx="12">
                  <c:v>91.008220573608924</c:v>
                </c:pt>
                <c:pt idx="13">
                  <c:v>91.410862124406322</c:v>
                </c:pt>
                <c:pt idx="14">
                  <c:v>91.804112070746299</c:v>
                </c:pt>
                <c:pt idx="15">
                  <c:v>92.212835094101735</c:v>
                </c:pt>
                <c:pt idx="16">
                  <c:v>92.599810262110282</c:v>
                </c:pt>
                <c:pt idx="17">
                  <c:v>93.001263226693823</c:v>
                </c:pt>
                <c:pt idx="18">
                  <c:v>93.404467569341193</c:v>
                </c:pt>
                <c:pt idx="19">
                  <c:v>93.7978406989767</c:v>
                </c:pt>
                <c:pt idx="20">
                  <c:v>94.192550434242776</c:v>
                </c:pt>
                <c:pt idx="21">
                  <c:v>94.588099119917928</c:v>
                </c:pt>
                <c:pt idx="22">
                  <c:v>94.983978140951592</c:v>
                </c:pt>
                <c:pt idx="23">
                  <c:v>95.369648000735822</c:v>
                </c:pt>
                <c:pt idx="24">
                  <c:v>95.764858635806434</c:v>
                </c:pt>
                <c:pt idx="25">
                  <c:v>96.149268750744085</c:v>
                </c:pt>
                <c:pt idx="26">
                  <c:v>96.541478585125446</c:v>
                </c:pt>
                <c:pt idx="27">
                  <c:v>96.922142565155156</c:v>
                </c:pt>
                <c:pt idx="28">
                  <c:v>97.30001006835559</c:v>
                </c:pt>
                <c:pt idx="29">
                  <c:v>97.682647642440088</c:v>
                </c:pt>
                <c:pt idx="30">
                  <c:v>98.052164941731405</c:v>
                </c:pt>
                <c:pt idx="31">
                  <c:v>98.423993790664099</c:v>
                </c:pt>
                <c:pt idx="32">
                  <c:v>98.781219201135201</c:v>
                </c:pt>
                <c:pt idx="33">
                  <c:v>99.137812244641054</c:v>
                </c:pt>
                <c:pt idx="34">
                  <c:v>99.484633056858996</c:v>
                </c:pt>
                <c:pt idx="35">
                  <c:v>99.820154599425905</c:v>
                </c:pt>
                <c:pt idx="36">
                  <c:v>100.14269971819633</c:v>
                </c:pt>
                <c:pt idx="37">
                  <c:v>100.4504451089434</c:v>
                </c:pt>
                <c:pt idx="38">
                  <c:v>100.74660336334733</c:v>
                </c:pt>
                <c:pt idx="39">
                  <c:v>101.02302880930142</c:v>
                </c:pt>
                <c:pt idx="40">
                  <c:v>101.27751749309985</c:v>
                </c:pt>
                <c:pt idx="41">
                  <c:v>101.50785088944053</c:v>
                </c:pt>
                <c:pt idx="42">
                  <c:v>101.71505834367218</c:v>
                </c:pt>
                <c:pt idx="43">
                  <c:v>101.89547914390246</c:v>
                </c:pt>
                <c:pt idx="44">
                  <c:v>102.04146290776544</c:v>
                </c:pt>
                <c:pt idx="45">
                  <c:v>102.15623793620577</c:v>
                </c:pt>
                <c:pt idx="46">
                  <c:v>102.23708394982711</c:v>
                </c:pt>
                <c:pt idx="47">
                  <c:v>102.28145313855961</c:v>
                </c:pt>
                <c:pt idx="48">
                  <c:v>102.2893314436665</c:v>
                </c:pt>
                <c:pt idx="49">
                  <c:v>102.26059266912785</c:v>
                </c:pt>
                <c:pt idx="50">
                  <c:v>102.19550915418938</c:v>
                </c:pt>
                <c:pt idx="51">
                  <c:v>102.09469418657403</c:v>
                </c:pt>
                <c:pt idx="52">
                  <c:v>101.96139752377596</c:v>
                </c:pt>
                <c:pt idx="53">
                  <c:v>101.7961900649988</c:v>
                </c:pt>
                <c:pt idx="54">
                  <c:v>101.60121941311903</c:v>
                </c:pt>
                <c:pt idx="55">
                  <c:v>101.37893963970984</c:v>
                </c:pt>
                <c:pt idx="56">
                  <c:v>101.1319835150822</c:v>
                </c:pt>
                <c:pt idx="57">
                  <c:v>100.86629008206742</c:v>
                </c:pt>
                <c:pt idx="58">
                  <c:v>100.57816369413561</c:v>
                </c:pt>
                <c:pt idx="59">
                  <c:v>100.27670574659726</c:v>
                </c:pt>
                <c:pt idx="60">
                  <c:v>99.957432581713789</c:v>
                </c:pt>
                <c:pt idx="61">
                  <c:v>99.62591692623505</c:v>
                </c:pt>
                <c:pt idx="62">
                  <c:v>99.284144983322676</c:v>
                </c:pt>
                <c:pt idx="63">
                  <c:v>98.933886840261181</c:v>
                </c:pt>
                <c:pt idx="64">
                  <c:v>98.576702687008122</c:v>
                </c:pt>
                <c:pt idx="65">
                  <c:v>98.210375859062566</c:v>
                </c:pt>
                <c:pt idx="66">
                  <c:v>97.839731657450955</c:v>
                </c:pt>
                <c:pt idx="67">
                  <c:v>97.465811873778534</c:v>
                </c:pt>
                <c:pt idx="68">
                  <c:v>97.086046045172139</c:v>
                </c:pt>
                <c:pt idx="69">
                  <c:v>96.701345660285568</c:v>
                </c:pt>
                <c:pt idx="70">
                  <c:v>96.315883073679487</c:v>
                </c:pt>
                <c:pt idx="71">
                  <c:v>95.926921173621054</c:v>
                </c:pt>
                <c:pt idx="72">
                  <c:v>95.538342561263619</c:v>
                </c:pt>
                <c:pt idx="73">
                  <c:v>95.147367225320579</c:v>
                </c:pt>
                <c:pt idx="74">
                  <c:v>94.754508189918141</c:v>
                </c:pt>
                <c:pt idx="75">
                  <c:v>94.360224109160782</c:v>
                </c:pt>
                <c:pt idx="76">
                  <c:v>93.96492480093977</c:v>
                </c:pt>
                <c:pt idx="77">
                  <c:v>93.568976397777931</c:v>
                </c:pt>
                <c:pt idx="78">
                  <c:v>93.169844692623883</c:v>
                </c:pt>
                <c:pt idx="79">
                  <c:v>92.773606317303404</c:v>
                </c:pt>
                <c:pt idx="80">
                  <c:v>92.37486028501408</c:v>
                </c:pt>
                <c:pt idx="81">
                  <c:v>91.976699191241977</c:v>
                </c:pt>
                <c:pt idx="82">
                  <c:v>91.579329447074315</c:v>
                </c:pt>
                <c:pt idx="83">
                  <c:v>91.180373490707808</c:v>
                </c:pt>
                <c:pt idx="84">
                  <c:v>90.782671475036466</c:v>
                </c:pt>
                <c:pt idx="85">
                  <c:v>90.383917851931386</c:v>
                </c:pt>
                <c:pt idx="86">
                  <c:v>89.984404404789416</c:v>
                </c:pt>
                <c:pt idx="87">
                  <c:v>89.584401903330573</c:v>
                </c:pt>
                <c:pt idx="88">
                  <c:v>89.184161390790052</c:v>
                </c:pt>
                <c:pt idx="89">
                  <c:v>88.786151174598743</c:v>
                </c:pt>
                <c:pt idx="90">
                  <c:v>88.3860643759689</c:v>
                </c:pt>
                <c:pt idx="91">
                  <c:v>87.986387468989392</c:v>
                </c:pt>
                <c:pt idx="92">
                  <c:v>87.585216814387763</c:v>
                </c:pt>
                <c:pt idx="93">
                  <c:v>87.186944089195208</c:v>
                </c:pt>
                <c:pt idx="94">
                  <c:v>86.785601933892636</c:v>
                </c:pt>
                <c:pt idx="95">
                  <c:v>86.385502498367742</c:v>
                </c:pt>
                <c:pt idx="96">
                  <c:v>85.986771253933654</c:v>
                </c:pt>
                <c:pt idx="97">
                  <c:v>85.585800613297067</c:v>
                </c:pt>
                <c:pt idx="98">
                  <c:v>85.186585812198842</c:v>
                </c:pt>
                <c:pt idx="99">
                  <c:v>84.787438003013733</c:v>
                </c:pt>
                <c:pt idx="100">
                  <c:v>84.386820752073021</c:v>
                </c:pt>
                <c:pt idx="101">
                  <c:v>83.991829909362139</c:v>
                </c:pt>
                <c:pt idx="102">
                  <c:v>83.589015338440589</c:v>
                </c:pt>
                <c:pt idx="103">
                  <c:v>83.17911232904342</c:v>
                </c:pt>
                <c:pt idx="104">
                  <c:v>82.794496360952451</c:v>
                </c:pt>
                <c:pt idx="105">
                  <c:v>82.387215532052323</c:v>
                </c:pt>
                <c:pt idx="106">
                  <c:v>81.989261747937221</c:v>
                </c:pt>
                <c:pt idx="107">
                  <c:v>81.585427246719519</c:v>
                </c:pt>
                <c:pt idx="108">
                  <c:v>81.190765420636666</c:v>
                </c:pt>
                <c:pt idx="109">
                  <c:v>80.790740024810532</c:v>
                </c:pt>
                <c:pt idx="110">
                  <c:v>80.385914079814967</c:v>
                </c:pt>
                <c:pt idx="111">
                  <c:v>79.990306385585995</c:v>
                </c:pt>
                <c:pt idx="112">
                  <c:v>79.590321135215902</c:v>
                </c:pt>
                <c:pt idx="113">
                  <c:v>79.186455403856286</c:v>
                </c:pt>
                <c:pt idx="114">
                  <c:v>78.791765307774654</c:v>
                </c:pt>
                <c:pt idx="115">
                  <c:v>78.381237033418842</c:v>
                </c:pt>
                <c:pt idx="116">
                  <c:v>77.992204339623697</c:v>
                </c:pt>
                <c:pt idx="117">
                  <c:v>77.58818556181987</c:v>
                </c:pt>
                <c:pt idx="118">
                  <c:v>77.181871643013551</c:v>
                </c:pt>
                <c:pt idx="119">
                  <c:v>76.78484413258991</c:v>
                </c:pt>
                <c:pt idx="120">
                  <c:v>76.385724327457893</c:v>
                </c:pt>
                <c:pt idx="121">
                  <c:v>75.984855141684577</c:v>
                </c:pt>
                <c:pt idx="122">
                  <c:v>75.58255980196499</c:v>
                </c:pt>
                <c:pt idx="123">
                  <c:v>75.189370290646053</c:v>
                </c:pt>
                <c:pt idx="124">
                  <c:v>74.784881193951676</c:v>
                </c:pt>
                <c:pt idx="125">
                  <c:v>74.389596415902332</c:v>
                </c:pt>
                <c:pt idx="126">
                  <c:v>73.984005762735052</c:v>
                </c:pt>
                <c:pt idx="127">
                  <c:v>73.58766908516462</c:v>
                </c:pt>
                <c:pt idx="128">
                  <c:v>73.191051965262375</c:v>
                </c:pt>
                <c:pt idx="129">
                  <c:v>72.785461772135079</c:v>
                </c:pt>
                <c:pt idx="130">
                  <c:v>72.389125556928349</c:v>
                </c:pt>
                <c:pt idx="131">
                  <c:v>71.98460744416181</c:v>
                </c:pt>
                <c:pt idx="132">
                  <c:v>71.589295013450524</c:v>
                </c:pt>
                <c:pt idx="133">
                  <c:v>71.186520312927286</c:v>
                </c:pt>
                <c:pt idx="134">
                  <c:v>70.784931546472222</c:v>
                </c:pt>
                <c:pt idx="135">
                  <c:v>70.384656581914925</c:v>
                </c:pt>
                <c:pt idx="136">
                  <c:v>69.985812993137245</c:v>
                </c:pt>
                <c:pt idx="137">
                  <c:v>69.58850866187754</c:v>
                </c:pt>
                <c:pt idx="138">
                  <c:v>69.18559952496787</c:v>
                </c:pt>
                <c:pt idx="139">
                  <c:v>68.784746230886839</c:v>
                </c:pt>
                <c:pt idx="140">
                  <c:v>68.38601748407595</c:v>
                </c:pt>
                <c:pt idx="141">
                  <c:v>67.989474896917955</c:v>
                </c:pt>
                <c:pt idx="142">
                  <c:v>67.588566926435476</c:v>
                </c:pt>
                <c:pt idx="143">
                  <c:v>67.183791775395235</c:v>
                </c:pt>
                <c:pt idx="144">
                  <c:v>66.788233873741859</c:v>
                </c:pt>
                <c:pt idx="145">
                  <c:v>66.389149161162038</c:v>
                </c:pt>
                <c:pt idx="146">
                  <c:v>65.986975961620317</c:v>
                </c:pt>
                <c:pt idx="147">
                  <c:v>65.58801544002111</c:v>
                </c:pt>
                <c:pt idx="148">
                  <c:v>65.186503804607511</c:v>
                </c:pt>
                <c:pt idx="149">
                  <c:v>64.788440165256873</c:v>
                </c:pt>
                <c:pt idx="150">
                  <c:v>64.388302619704547</c:v>
                </c:pt>
                <c:pt idx="151">
                  <c:v>63.986434708609956</c:v>
                </c:pt>
                <c:pt idx="152">
                  <c:v>63.588406083856292</c:v>
                </c:pt>
                <c:pt idx="153">
                  <c:v>63.189035411214697</c:v>
                </c:pt>
                <c:pt idx="154">
                  <c:v>62.788616049567153</c:v>
                </c:pt>
                <c:pt idx="155">
                  <c:v>62.387423580828184</c:v>
                </c:pt>
                <c:pt idx="156">
                  <c:v>61.985716453514762</c:v>
                </c:pt>
                <c:pt idx="157">
                  <c:v>61.588412156136926</c:v>
                </c:pt>
                <c:pt idx="158">
                  <c:v>61.18627889758087</c:v>
                </c:pt>
                <c:pt idx="159">
                  <c:v>60.788777945393427</c:v>
                </c:pt>
                <c:pt idx="160">
                  <c:v>60.38707354168546</c:v>
                </c:pt>
                <c:pt idx="161">
                  <c:v>59.985918366315417</c:v>
                </c:pt>
                <c:pt idx="162">
                  <c:v>59.585482314618936</c:v>
                </c:pt>
                <c:pt idx="163">
                  <c:v>59.185922898628341</c:v>
                </c:pt>
                <c:pt idx="164">
                  <c:v>58.78738589945457</c:v>
                </c:pt>
                <c:pt idx="165">
                  <c:v>58.386116642198395</c:v>
                </c:pt>
                <c:pt idx="166">
                  <c:v>57.986304860839716</c:v>
                </c:pt>
                <c:pt idx="167">
                  <c:v>57.588057936514609</c:v>
                </c:pt>
                <c:pt idx="168">
                  <c:v>57.187844020730445</c:v>
                </c:pt>
                <c:pt idx="169">
                  <c:v>56.785999657268476</c:v>
                </c:pt>
                <c:pt idx="170">
                  <c:v>56.386307537551907</c:v>
                </c:pt>
                <c:pt idx="171">
                  <c:v>55.985441245033535</c:v>
                </c:pt>
                <c:pt idx="172">
                  <c:v>55.586995371350575</c:v>
                </c:pt>
                <c:pt idx="173">
                  <c:v>55.187776249563093</c:v>
                </c:pt>
                <c:pt idx="174">
                  <c:v>54.788039090889768</c:v>
                </c:pt>
                <c:pt idx="175">
                  <c:v>54.388022935928625</c:v>
                </c:pt>
                <c:pt idx="176">
                  <c:v>53.987951319506436</c:v>
                </c:pt>
                <c:pt idx="177">
                  <c:v>53.588032943211573</c:v>
                </c:pt>
                <c:pt idx="178">
                  <c:v>53.185579301708671</c:v>
                </c:pt>
                <c:pt idx="179">
                  <c:v>52.786603010158863</c:v>
                </c:pt>
                <c:pt idx="180">
                  <c:v>52.385568909135486</c:v>
                </c:pt>
                <c:pt idx="181">
                  <c:v>51.985511301455901</c:v>
                </c:pt>
                <c:pt idx="182">
                  <c:v>51.586569988735768</c:v>
                </c:pt>
                <c:pt idx="183">
                  <c:v>51.186304347548834</c:v>
                </c:pt>
                <c:pt idx="184">
                  <c:v>50.78751902467917</c:v>
                </c:pt>
                <c:pt idx="185">
                  <c:v>50.387864404718862</c:v>
                </c:pt>
                <c:pt idx="186">
                  <c:v>49.987602816992563</c:v>
                </c:pt>
                <c:pt idx="187">
                  <c:v>49.586980080809028</c:v>
                </c:pt>
                <c:pt idx="188">
                  <c:v>49.186226171654639</c:v>
                </c:pt>
                <c:pt idx="189">
                  <c:v>48.78779380984912</c:v>
                </c:pt>
                <c:pt idx="190">
                  <c:v>48.387356498069941</c:v>
                </c:pt>
                <c:pt idx="191">
                  <c:v>47.987390872356507</c:v>
                </c:pt>
                <c:pt idx="192">
                  <c:v>47.585981712350979</c:v>
                </c:pt>
                <c:pt idx="193">
                  <c:v>47.187514432816791</c:v>
                </c:pt>
                <c:pt idx="194">
                  <c:v>46.786011564306484</c:v>
                </c:pt>
                <c:pt idx="195">
                  <c:v>46.385781228687385</c:v>
                </c:pt>
                <c:pt idx="196">
                  <c:v>45.986943694705367</c:v>
                </c:pt>
                <c:pt idx="197">
                  <c:v>45.585886343260576</c:v>
                </c:pt>
                <c:pt idx="198">
                  <c:v>45.186601873929597</c:v>
                </c:pt>
                <c:pt idx="199">
                  <c:v>44.787398176848548</c:v>
                </c:pt>
                <c:pt idx="200">
                  <c:v>44.386736289966166</c:v>
                </c:pt>
              </c:numCache>
            </c:numRef>
          </c:yVal>
          <c:smooth val="0"/>
        </c:ser>
        <c:ser>
          <c:idx val="2"/>
          <c:order val="2"/>
          <c:tx>
            <c:v>System SPL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Model'!$V$167:$V$367</c:f>
              <c:numCache>
                <c:formatCode>0.0</c:formatCode>
                <c:ptCount val="201"/>
                <c:pt idx="0">
                  <c:v>67.864274873877491</c:v>
                </c:pt>
                <c:pt idx="1">
                  <c:v>68.624141586638586</c:v>
                </c:pt>
                <c:pt idx="2">
                  <c:v>69.400191885032157</c:v>
                </c:pt>
                <c:pt idx="3">
                  <c:v>70.191030305302377</c:v>
                </c:pt>
                <c:pt idx="4">
                  <c:v>70.934080440786829</c:v>
                </c:pt>
                <c:pt idx="5">
                  <c:v>71.72192883093507</c:v>
                </c:pt>
                <c:pt idx="6">
                  <c:v>72.49269650204144</c:v>
                </c:pt>
                <c:pt idx="7">
                  <c:v>73.275779866249522</c:v>
                </c:pt>
                <c:pt idx="8">
                  <c:v>74.041931392249239</c:v>
                </c:pt>
                <c:pt idx="9">
                  <c:v>74.819309112427248</c:v>
                </c:pt>
                <c:pt idx="10">
                  <c:v>75.606797516370875</c:v>
                </c:pt>
                <c:pt idx="11">
                  <c:v>76.377059337132607</c:v>
                </c:pt>
                <c:pt idx="12">
                  <c:v>77.156494338732614</c:v>
                </c:pt>
                <c:pt idx="13">
                  <c:v>77.94408905422128</c:v>
                </c:pt>
                <c:pt idx="14">
                  <c:v>78.714301363575828</c:v>
                </c:pt>
                <c:pt idx="15">
                  <c:v>79.515876093293258</c:v>
                </c:pt>
                <c:pt idx="16">
                  <c:v>80.275823869316838</c:v>
                </c:pt>
                <c:pt idx="17">
                  <c:v>81.065301725376713</c:v>
                </c:pt>
                <c:pt idx="18">
                  <c:v>81.859412328435525</c:v>
                </c:pt>
                <c:pt idx="19">
                  <c:v>82.635388134920078</c:v>
                </c:pt>
                <c:pt idx="20">
                  <c:v>83.415320897987328</c:v>
                </c:pt>
                <c:pt idx="21">
                  <c:v>84.198367136454422</c:v>
                </c:pt>
                <c:pt idx="22">
                  <c:v>84.983689659166572</c:v>
                </c:pt>
                <c:pt idx="23">
                  <c:v>85.750515780210691</c:v>
                </c:pt>
                <c:pt idx="24">
                  <c:v>86.538359264184464</c:v>
                </c:pt>
                <c:pt idx="25">
                  <c:v>87.306959696165308</c:v>
                </c:pt>
                <c:pt idx="26">
                  <c:v>88.093861662867795</c:v>
                </c:pt>
                <c:pt idx="27">
                  <c:v>88.860668149389511</c:v>
                </c:pt>
                <c:pt idx="28">
                  <c:v>89.625384080508326</c:v>
                </c:pt>
                <c:pt idx="29">
                  <c:v>90.404051623943076</c:v>
                </c:pt>
                <c:pt idx="30">
                  <c:v>91.160965461730825</c:v>
                </c:pt>
                <c:pt idx="31">
                  <c:v>91.928581465397684</c:v>
                </c:pt>
                <c:pt idx="32">
                  <c:v>92.67295510834839</c:v>
                </c:pt>
                <c:pt idx="33">
                  <c:v>93.424363231088506</c:v>
                </c:pt>
                <c:pt idx="34">
                  <c:v>94.16518211490191</c:v>
                </c:pt>
                <c:pt idx="35">
                  <c:v>94.893741692557796</c:v>
                </c:pt>
                <c:pt idx="36">
                  <c:v>95.60823231892013</c:v>
                </c:pt>
                <c:pt idx="37">
                  <c:v>96.306708191842517</c:v>
                </c:pt>
                <c:pt idx="38">
                  <c:v>96.999399590377891</c:v>
                </c:pt>
                <c:pt idx="39">
                  <c:v>97.670612996457265</c:v>
                </c:pt>
                <c:pt idx="40">
                  <c:v>98.318060777140033</c:v>
                </c:pt>
                <c:pt idx="41">
                  <c:v>98.939448392467597</c:v>
                </c:pt>
                <c:pt idx="42">
                  <c:v>99.542257378819585</c:v>
                </c:pt>
                <c:pt idx="43">
                  <c:v>100.12233235119947</c:v>
                </c:pt>
                <c:pt idx="44">
                  <c:v>100.65908953392753</c:v>
                </c:pt>
                <c:pt idx="45">
                  <c:v>101.16833296213537</c:v>
                </c:pt>
                <c:pt idx="46">
                  <c:v>101.64690518587898</c:v>
                </c:pt>
                <c:pt idx="47">
                  <c:v>102.08601805150914</c:v>
                </c:pt>
                <c:pt idx="48">
                  <c:v>102.49135142531949</c:v>
                </c:pt>
                <c:pt idx="49">
                  <c:v>102.85683198003673</c:v>
                </c:pt>
                <c:pt idx="50">
                  <c:v>103.18819200228256</c:v>
                </c:pt>
                <c:pt idx="51">
                  <c:v>103.48569938905538</c:v>
                </c:pt>
                <c:pt idx="52">
                  <c:v>103.74707503618021</c:v>
                </c:pt>
                <c:pt idx="53">
                  <c:v>103.97801926537957</c:v>
                </c:pt>
                <c:pt idx="54">
                  <c:v>104.18038351812606</c:v>
                </c:pt>
                <c:pt idx="55">
                  <c:v>104.35634311155633</c:v>
                </c:pt>
                <c:pt idx="56">
                  <c:v>104.5082688961204</c:v>
                </c:pt>
                <c:pt idx="57">
                  <c:v>104.63720943254592</c:v>
                </c:pt>
                <c:pt idx="58">
                  <c:v>104.74863351254547</c:v>
                </c:pt>
                <c:pt idx="59">
                  <c:v>104.84223692647546</c:v>
                </c:pt>
                <c:pt idx="60">
                  <c:v>104.92231232396128</c:v>
                </c:pt>
                <c:pt idx="61">
                  <c:v>104.98970428738326</c:v>
                </c:pt>
                <c:pt idx="62">
                  <c:v>105.04622495683634</c:v>
                </c:pt>
                <c:pt idx="63">
                  <c:v>105.09348275698767</c:v>
                </c:pt>
                <c:pt idx="64">
                  <c:v>105.13288798731361</c:v>
                </c:pt>
                <c:pt idx="65">
                  <c:v>105.16595685895837</c:v>
                </c:pt>
                <c:pt idx="66">
                  <c:v>105.19334106462543</c:v>
                </c:pt>
                <c:pt idx="67">
                  <c:v>105.215970893215</c:v>
                </c:pt>
                <c:pt idx="68">
                  <c:v>105.23478928368078</c:v>
                </c:pt>
                <c:pt idx="69">
                  <c:v>105.25037018262108</c:v>
                </c:pt>
                <c:pt idx="70">
                  <c:v>105.26311459243072</c:v>
                </c:pt>
                <c:pt idx="71">
                  <c:v>105.27359610499556</c:v>
                </c:pt>
                <c:pt idx="72">
                  <c:v>105.28211224740241</c:v>
                </c:pt>
                <c:pt idx="73">
                  <c:v>105.28906265240033</c:v>
                </c:pt>
                <c:pt idx="74">
                  <c:v>105.29470356849822</c:v>
                </c:pt>
                <c:pt idx="75">
                  <c:v>105.29925294774148</c:v>
                </c:pt>
                <c:pt idx="76">
                  <c:v>105.3028953390793</c:v>
                </c:pt>
                <c:pt idx="77">
                  <c:v>105.30578638820805</c:v>
                </c:pt>
                <c:pt idx="78">
                  <c:v>105.30807131580971</c:v>
                </c:pt>
                <c:pt idx="79">
                  <c:v>105.30982730718506</c:v>
                </c:pt>
                <c:pt idx="80">
                  <c:v>105.31117259907151</c:v>
                </c:pt>
                <c:pt idx="81">
                  <c:v>105.31217082667135</c:v>
                </c:pt>
                <c:pt idx="82">
                  <c:v>105.31288671038863</c:v>
                </c:pt>
                <c:pt idx="83">
                  <c:v>105.3133763136143</c:v>
                </c:pt>
                <c:pt idx="84">
                  <c:v>105.31367915937895</c:v>
                </c:pt>
                <c:pt idx="85">
                  <c:v>105.31383299776374</c:v>
                </c:pt>
                <c:pt idx="86">
                  <c:v>105.31386639987474</c:v>
                </c:pt>
                <c:pt idx="87">
                  <c:v>105.31380337341145</c:v>
                </c:pt>
                <c:pt idx="88">
                  <c:v>105.31366399822303</c:v>
                </c:pt>
                <c:pt idx="89">
                  <c:v>105.31346624359983</c:v>
                </c:pt>
                <c:pt idx="90">
                  <c:v>105.31322165507646</c:v>
                </c:pt>
                <c:pt idx="91">
                  <c:v>105.31294266279482</c:v>
                </c:pt>
                <c:pt idx="92">
                  <c:v>105.31263702466512</c:v>
                </c:pt>
                <c:pt idx="93">
                  <c:v>105.31231566843812</c:v>
                </c:pt>
                <c:pt idx="94">
                  <c:v>105.31197987804978</c:v>
                </c:pt>
                <c:pt idx="95">
                  <c:v>105.31163811834296</c:v>
                </c:pt>
                <c:pt idx="96">
                  <c:v>105.31129452043476</c:v>
                </c:pt>
                <c:pt idx="97">
                  <c:v>105.31094915386669</c:v>
                </c:pt>
                <c:pt idx="98">
                  <c:v>105.31060798395936</c:v>
                </c:pt>
                <c:pt idx="99">
                  <c:v>105.31027153341668</c:v>
                </c:pt>
                <c:pt idx="100">
                  <c:v>105.30994008400012</c:v>
                </c:pt>
                <c:pt idx="101">
                  <c:v>105.30962057291973</c:v>
                </c:pt>
                <c:pt idx="102">
                  <c:v>105.30930307609785</c:v>
                </c:pt>
                <c:pt idx="103">
                  <c:v>105.30898931898111</c:v>
                </c:pt>
                <c:pt idx="104">
                  <c:v>105.30870390163699</c:v>
                </c:pt>
                <c:pt idx="105">
                  <c:v>105.3084114376982</c:v>
                </c:pt>
                <c:pt idx="106">
                  <c:v>105.30813553736445</c:v>
                </c:pt>
                <c:pt idx="107">
                  <c:v>105.30786558268528</c:v>
                </c:pt>
                <c:pt idx="108">
                  <c:v>105.30761148371016</c:v>
                </c:pt>
                <c:pt idx="109">
                  <c:v>105.30736364332731</c:v>
                </c:pt>
                <c:pt idx="110">
                  <c:v>105.30712262970377</c:v>
                </c:pt>
                <c:pt idx="111">
                  <c:v>105.30689644043855</c:v>
                </c:pt>
                <c:pt idx="112">
                  <c:v>105.30667691009654</c:v>
                </c:pt>
                <c:pt idx="113">
                  <c:v>105.30646434834458</c:v>
                </c:pt>
                <c:pt idx="114">
                  <c:v>105.30626519191864</c:v>
                </c:pt>
                <c:pt idx="115">
                  <c:v>105.30606675458603</c:v>
                </c:pt>
                <c:pt idx="116">
                  <c:v>105.30588663396256</c:v>
                </c:pt>
                <c:pt idx="117">
                  <c:v>105.30570745537395</c:v>
                </c:pt>
                <c:pt idx="118">
                  <c:v>105.30553506524217</c:v>
                </c:pt>
                <c:pt idx="119">
                  <c:v>105.30537389437063</c:v>
                </c:pt>
                <c:pt idx="120">
                  <c:v>105.30521884886153</c:v>
                </c:pt>
                <c:pt idx="121">
                  <c:v>105.30506988892157</c:v>
                </c:pt>
                <c:pt idx="122">
                  <c:v>105.30492694380163</c:v>
                </c:pt>
                <c:pt idx="123">
                  <c:v>105.30479331461646</c:v>
                </c:pt>
                <c:pt idx="124">
                  <c:v>105.30466186088421</c:v>
                </c:pt>
                <c:pt idx="125">
                  <c:v>105.30453905009398</c:v>
                </c:pt>
                <c:pt idx="126">
                  <c:v>105.30441860049172</c:v>
                </c:pt>
                <c:pt idx="127">
                  <c:v>105.30430611333583</c:v>
                </c:pt>
                <c:pt idx="128">
                  <c:v>105.30419848714632</c:v>
                </c:pt>
                <c:pt idx="129">
                  <c:v>105.30409331898096</c:v>
                </c:pt>
                <c:pt idx="130">
                  <c:v>105.30399512465218</c:v>
                </c:pt>
                <c:pt idx="131">
                  <c:v>105.30389936312258</c:v>
                </c:pt>
                <c:pt idx="132">
                  <c:v>105.3038099453197</c:v>
                </c:pt>
                <c:pt idx="133">
                  <c:v>105.30372288853258</c:v>
                </c:pt>
                <c:pt idx="134">
                  <c:v>105.30363997902006</c:v>
                </c:pt>
                <c:pt idx="135">
                  <c:v>105.30356103674481</c:v>
                </c:pt>
                <c:pt idx="136">
                  <c:v>105.30348588550211</c:v>
                </c:pt>
                <c:pt idx="137">
                  <c:v>105.30341435351383</c:v>
                </c:pt>
                <c:pt idx="138">
                  <c:v>105.30334505615784</c:v>
                </c:pt>
                <c:pt idx="139">
                  <c:v>105.30327921041788</c:v>
                </c:pt>
                <c:pt idx="140">
                  <c:v>105.30321664317393</c:v>
                </c:pt>
                <c:pt idx="141">
                  <c:v>105.30315718858338</c:v>
                </c:pt>
                <c:pt idx="142">
                  <c:v>105.30309976294433</c:v>
                </c:pt>
                <c:pt idx="143">
                  <c:v>105.30304439877867</c:v>
                </c:pt>
                <c:pt idx="144">
                  <c:v>105.30299272109033</c:v>
                </c:pt>
                <c:pt idx="145">
                  <c:v>105.30294290443544</c:v>
                </c:pt>
                <c:pt idx="146">
                  <c:v>105.30289495659753</c:v>
                </c:pt>
                <c:pt idx="147">
                  <c:v>105.30284952800011</c:v>
                </c:pt>
                <c:pt idx="148">
                  <c:v>105.30280586091649</c:v>
                </c:pt>
                <c:pt idx="149">
                  <c:v>105.30276451026592</c:v>
                </c:pt>
                <c:pt idx="150">
                  <c:v>105.30272480533242</c:v>
                </c:pt>
                <c:pt idx="151">
                  <c:v>105.30268672283088</c:v>
                </c:pt>
                <c:pt idx="152">
                  <c:v>105.30265069719081</c:v>
                </c:pt>
                <c:pt idx="153">
                  <c:v>105.30261616778446</c:v>
                </c:pt>
                <c:pt idx="154">
                  <c:v>105.30258310182643</c:v>
                </c:pt>
                <c:pt idx="155">
                  <c:v>105.30255146274726</c:v>
                </c:pt>
                <c:pt idx="156">
                  <c:v>105.30252121096095</c:v>
                </c:pt>
                <c:pt idx="157">
                  <c:v>105.3024926331484</c:v>
                </c:pt>
                <c:pt idx="158">
                  <c:v>105.30246500645111</c:v>
                </c:pt>
                <c:pt idx="159">
                  <c:v>105.302438924401</c:v>
                </c:pt>
                <c:pt idx="160">
                  <c:v>105.30241374964589</c:v>
                </c:pt>
                <c:pt idx="161">
                  <c:v>105.30238974295398</c:v>
                </c:pt>
                <c:pt idx="162">
                  <c:v>105.30236685830133</c:v>
                </c:pt>
                <c:pt idx="163">
                  <c:v>105.30234504999092</c:v>
                </c:pt>
                <c:pt idx="164">
                  <c:v>105.30232427290102</c:v>
                </c:pt>
                <c:pt idx="165">
                  <c:v>105.30230429342726</c:v>
                </c:pt>
                <c:pt idx="166">
                  <c:v>105.30228528256112</c:v>
                </c:pt>
                <c:pt idx="167">
                  <c:v>105.30226719537004</c:v>
                </c:pt>
                <c:pt idx="168">
                  <c:v>105.30224983445007</c:v>
                </c:pt>
                <c:pt idx="169">
                  <c:v>105.30223318847305</c:v>
                </c:pt>
                <c:pt idx="170">
                  <c:v>105.30221737748133</c:v>
                </c:pt>
                <c:pt idx="171">
                  <c:v>105.30220223352802</c:v>
                </c:pt>
                <c:pt idx="172">
                  <c:v>105.30218785730671</c:v>
                </c:pt>
                <c:pt idx="173">
                  <c:v>105.30217409905308</c:v>
                </c:pt>
                <c:pt idx="174">
                  <c:v>105.30216094165789</c:v>
                </c:pt>
                <c:pt idx="175">
                  <c:v>105.30214836701708</c:v>
                </c:pt>
                <c:pt idx="176">
                  <c:v>105.30213635629002</c:v>
                </c:pt>
                <c:pt idx="177">
                  <c:v>105.30212489012735</c:v>
                </c:pt>
                <c:pt idx="178">
                  <c:v>105.30211387173847</c:v>
                </c:pt>
                <c:pt idx="179">
                  <c:v>105.30210344072418</c:v>
                </c:pt>
                <c:pt idx="180">
                  <c:v>105.30209342750163</c:v>
                </c:pt>
                <c:pt idx="181">
                  <c:v>105.30208388856363</c:v>
                </c:pt>
                <c:pt idx="182">
                  <c:v>105.30207480360156</c:v>
                </c:pt>
                <c:pt idx="183">
                  <c:v>105.30206609810054</c:v>
                </c:pt>
                <c:pt idx="184">
                  <c:v>105.30205781450638</c:v>
                </c:pt>
                <c:pt idx="185">
                  <c:v>105.30204988558859</c:v>
                </c:pt>
                <c:pt idx="186">
                  <c:v>105.30204230182116</c:v>
                </c:pt>
                <c:pt idx="187">
                  <c:v>105.30203505305624</c:v>
                </c:pt>
                <c:pt idx="188">
                  <c:v>105.30202812867847</c:v>
                </c:pt>
                <c:pt idx="189">
                  <c:v>105.30202155382605</c:v>
                </c:pt>
                <c:pt idx="190">
                  <c:v>105.30201524276004</c:v>
                </c:pt>
                <c:pt idx="191">
                  <c:v>105.3020092228715</c:v>
                </c:pt>
                <c:pt idx="192">
                  <c:v>105.30200345352773</c:v>
                </c:pt>
                <c:pt idx="193">
                  <c:v>105.30199798410601</c:v>
                </c:pt>
                <c:pt idx="194">
                  <c:v>105.30199272095922</c:v>
                </c:pt>
                <c:pt idx="195">
                  <c:v>105.30198771105128</c:v>
                </c:pt>
                <c:pt idx="196">
                  <c:v>105.30198294295565</c:v>
                </c:pt>
                <c:pt idx="197">
                  <c:v>105.30197836402206</c:v>
                </c:pt>
                <c:pt idx="198">
                  <c:v>105.30197401053732</c:v>
                </c:pt>
                <c:pt idx="199">
                  <c:v>105.30196985341976</c:v>
                </c:pt>
                <c:pt idx="200">
                  <c:v>105.30196586882141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05568"/>
        <c:axId val="249007488"/>
      </c:scatterChart>
      <c:valAx>
        <c:axId val="249005568"/>
        <c:scaling>
          <c:logBase val="10"/>
          <c:orientation val="minMax"/>
          <c:max val="1000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 [Hz]</a:t>
                </a:r>
              </a:p>
            </c:rich>
          </c:tx>
          <c:layout>
            <c:manualLayout>
              <c:xMode val="edge"/>
              <c:yMode val="edge"/>
              <c:x val="0.39164809252116622"/>
              <c:y val="0.932142857142857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007488"/>
        <c:crosses val="autoZero"/>
        <c:crossBetween val="midCat"/>
      </c:valAx>
      <c:valAx>
        <c:axId val="249007488"/>
        <c:scaling>
          <c:orientation val="minMax"/>
          <c:max val="112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SPL  [db]</a:t>
                </a:r>
              </a:p>
            </c:rich>
          </c:tx>
          <c:layout>
            <c:manualLayout>
              <c:xMode val="edge"/>
              <c:yMode val="edge"/>
              <c:x val="1.8058690744920992E-2"/>
              <c:y val="0.44285714285714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005568"/>
        <c:crosses val="autoZero"/>
        <c:crossBetween val="midCat"/>
        <c:majorUnit val="3"/>
        <c:minorUnit val="3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11559813488324"/>
          <c:y val="0.44642857142857145"/>
          <c:w val="0.1467269807978292"/>
          <c:h val="0.13035714285714289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Input Power vs Frequency at Maximum Voltage input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Model'!$W$167:$W$367</c:f>
              <c:numCache>
                <c:formatCode>0.0</c:formatCode>
                <c:ptCount val="201"/>
                <c:pt idx="0">
                  <c:v>59.581322784197745</c:v>
                </c:pt>
                <c:pt idx="1">
                  <c:v>58.351999536257871</c:v>
                </c:pt>
                <c:pt idx="2">
                  <c:v>57.046476318683126</c:v>
                </c:pt>
                <c:pt idx="3">
                  <c:v>55.662535225221689</c:v>
                </c:pt>
                <c:pt idx="4">
                  <c:v>54.311605952247142</c:v>
                </c:pt>
                <c:pt idx="5">
                  <c:v>52.824269903662746</c:v>
                </c:pt>
                <c:pt idx="6">
                  <c:v>51.313146374756684</c:v>
                </c:pt>
                <c:pt idx="7">
                  <c:v>49.719917607766341</c:v>
                </c:pt>
                <c:pt idx="8">
                  <c:v>48.103602098951761</c:v>
                </c:pt>
                <c:pt idx="9">
                  <c:v>46.404657403531807</c:v>
                </c:pt>
                <c:pt idx="10">
                  <c:v>44.622592262878015</c:v>
                </c:pt>
                <c:pt idx="11">
                  <c:v>42.820035648478616</c:v>
                </c:pt>
                <c:pt idx="12">
                  <c:v>40.936650122154653</c:v>
                </c:pt>
                <c:pt idx="13">
                  <c:v>38.974204355858085</c:v>
                </c:pt>
                <c:pt idx="14">
                  <c:v>36.999695598100637</c:v>
                </c:pt>
                <c:pt idx="15">
                  <c:v>34.890641514600233</c:v>
                </c:pt>
                <c:pt idx="16">
                  <c:v>32.845839548202292</c:v>
                </c:pt>
                <c:pt idx="17">
                  <c:v>30.683810753237378</c:v>
                </c:pt>
                <c:pt idx="18">
                  <c:v>28.483777392413366</c:v>
                </c:pt>
                <c:pt idx="19">
                  <c:v>26.328849225620704</c:v>
                </c:pt>
                <c:pt idx="20">
                  <c:v>24.186200446407433</c:v>
                </c:pt>
                <c:pt idx="21">
                  <c:v>22.100531057722552</c:v>
                </c:pt>
                <c:pt idx="22">
                  <c:v>20.137206752215409</c:v>
                </c:pt>
                <c:pt idx="23">
                  <c:v>18.430687345185103</c:v>
                </c:pt>
                <c:pt idx="24">
                  <c:v>17.016564048595079</c:v>
                </c:pt>
                <c:pt idx="25">
                  <c:v>16.114913359096587</c:v>
                </c:pt>
                <c:pt idx="26">
                  <c:v>15.832907500926977</c:v>
                </c:pt>
                <c:pt idx="27">
                  <c:v>16.279210993355495</c:v>
                </c:pt>
                <c:pt idx="28">
                  <c:v>17.440089534379087</c:v>
                </c:pt>
                <c:pt idx="29">
                  <c:v>19.280253416523987</c:v>
                </c:pt>
                <c:pt idx="30">
                  <c:v>21.594827340755938</c:v>
                </c:pt>
                <c:pt idx="31">
                  <c:v>24.36143042255544</c:v>
                </c:pt>
                <c:pt idx="32">
                  <c:v>27.360680694292949</c:v>
                </c:pt>
                <c:pt idx="33">
                  <c:v>30.63633907652088</c:v>
                </c:pt>
                <c:pt idx="34">
                  <c:v>34.057595260051436</c:v>
                </c:pt>
                <c:pt idx="35">
                  <c:v>37.565937965032418</c:v>
                </c:pt>
                <c:pt idx="36">
                  <c:v>41.108776367219441</c:v>
                </c:pt>
                <c:pt idx="37">
                  <c:v>44.636170884466779</c:v>
                </c:pt>
                <c:pt idx="38">
                  <c:v>48.161375834420809</c:v>
                </c:pt>
                <c:pt idx="39">
                  <c:v>51.564535490693729</c:v>
                </c:pt>
                <c:pt idx="40">
                  <c:v>54.792602701953889</c:v>
                </c:pt>
                <c:pt idx="41">
                  <c:v>57.792246154148664</c:v>
                </c:pt>
                <c:pt idx="42">
                  <c:v>60.553915910392263</c:v>
                </c:pt>
                <c:pt idx="43">
                  <c:v>63.007395688970796</c:v>
                </c:pt>
                <c:pt idx="44">
                  <c:v>65.025954314411678</c:v>
                </c:pt>
                <c:pt idx="45">
                  <c:v>66.634028901898901</c:v>
                </c:pt>
                <c:pt idx="46">
                  <c:v>67.777900556454512</c:v>
                </c:pt>
                <c:pt idx="47">
                  <c:v>68.409604175585088</c:v>
                </c:pt>
                <c:pt idx="48">
                  <c:v>68.522063074973403</c:v>
                </c:pt>
                <c:pt idx="49">
                  <c:v>68.112256754243376</c:v>
                </c:pt>
                <c:pt idx="50">
                  <c:v>67.188513488502736</c:v>
                </c:pt>
                <c:pt idx="51">
                  <c:v>65.769451117575031</c:v>
                </c:pt>
                <c:pt idx="52">
                  <c:v>63.91516332340948</c:v>
                </c:pt>
                <c:pt idx="53">
                  <c:v>61.651566040044862</c:v>
                </c:pt>
                <c:pt idx="54">
                  <c:v>59.029254589968595</c:v>
                </c:pt>
                <c:pt idx="55">
                  <c:v>56.104313757929241</c:v>
                </c:pt>
                <c:pt idx="56">
                  <c:v>52.935476473682591</c:v>
                </c:pt>
                <c:pt idx="57">
                  <c:v>49.621615779205428</c:v>
                </c:pt>
                <c:pt idx="58">
                  <c:v>46.140925170395633</c:v>
                </c:pt>
                <c:pt idx="59">
                  <c:v>42.627474388470581</c:v>
                </c:pt>
                <c:pt idx="60">
                  <c:v>39.054026388855938</c:v>
                </c:pt>
                <c:pt idx="61">
                  <c:v>35.512110787543513</c:v>
                </c:pt>
                <c:pt idx="62">
                  <c:v>32.053130377700711</c:v>
                </c:pt>
                <c:pt idx="63">
                  <c:v>28.731040865846552</c:v>
                </c:pt>
                <c:pt idx="64">
                  <c:v>25.606100418665047</c:v>
                </c:pt>
                <c:pt idx="65">
                  <c:v>22.7233104317299</c:v>
                </c:pt>
                <c:pt idx="66">
                  <c:v>20.205504484950939</c:v>
                </c:pt>
                <c:pt idx="67">
                  <c:v>18.161038878703518</c:v>
                </c:pt>
                <c:pt idx="68">
                  <c:v>16.697176143282288</c:v>
                </c:pt>
                <c:pt idx="69">
                  <c:v>15.93083027716829</c:v>
                </c:pt>
                <c:pt idx="70">
                  <c:v>15.908349372967468</c:v>
                </c:pt>
                <c:pt idx="71">
                  <c:v>16.570289954175234</c:v>
                </c:pt>
                <c:pt idx="72">
                  <c:v>17.777171619873343</c:v>
                </c:pt>
                <c:pt idx="73">
                  <c:v>19.383291943593708</c:v>
                </c:pt>
                <c:pt idx="74">
                  <c:v>21.255607302597195</c:v>
                </c:pt>
                <c:pt idx="75">
                  <c:v>23.291503563316557</c:v>
                </c:pt>
                <c:pt idx="76">
                  <c:v>25.417414840092786</c:v>
                </c:pt>
                <c:pt idx="77">
                  <c:v>27.582243117369611</c:v>
                </c:pt>
                <c:pt idx="78">
                  <c:v>29.766484197767145</c:v>
                </c:pt>
                <c:pt idx="79">
                  <c:v>31.914312936118144</c:v>
                </c:pt>
                <c:pt idx="80">
                  <c:v>34.039772114358989</c:v>
                </c:pt>
                <c:pt idx="81">
                  <c:v>36.115911760750315</c:v>
                </c:pt>
                <c:pt idx="82">
                  <c:v>38.135162585640607</c:v>
                </c:pt>
                <c:pt idx="83">
                  <c:v>40.105086992181754</c:v>
                </c:pt>
                <c:pt idx="84">
                  <c:v>42.008929805347343</c:v>
                </c:pt>
                <c:pt idx="85">
                  <c:v>43.856313320565327</c:v>
                </c:pt>
                <c:pt idx="86">
                  <c:v>45.644876650693227</c:v>
                </c:pt>
                <c:pt idx="87">
                  <c:v>47.373164843975943</c:v>
                </c:pt>
                <c:pt idx="88">
                  <c:v>49.040445065751179</c:v>
                </c:pt>
                <c:pt idx="89">
                  <c:v>50.637758336926552</c:v>
                </c:pt>
                <c:pt idx="90">
                  <c:v>52.183542933594524</c:v>
                </c:pt>
                <c:pt idx="91">
                  <c:v>53.669121650943175</c:v>
                </c:pt>
                <c:pt idx="92">
                  <c:v>55.10277933560976</c:v>
                </c:pt>
                <c:pt idx="93">
                  <c:v>56.47064844138292</c:v>
                </c:pt>
                <c:pt idx="94">
                  <c:v>57.794791202370476</c:v>
                </c:pt>
                <c:pt idx="95">
                  <c:v>59.062249775205927</c:v>
                </c:pt>
                <c:pt idx="96">
                  <c:v>60.274790624841508</c:v>
                </c:pt>
                <c:pt idx="97">
                  <c:v>61.444885277911006</c:v>
                </c:pt>
                <c:pt idx="98">
                  <c:v>62.562440098400728</c:v>
                </c:pt>
                <c:pt idx="99">
                  <c:v>63.634143859243352</c:v>
                </c:pt>
                <c:pt idx="100">
                  <c:v>64.665504580523319</c:v>
                </c:pt>
                <c:pt idx="101">
                  <c:v>65.640501844591853</c:v>
                </c:pt>
                <c:pt idx="102">
                  <c:v>66.593554964150798</c:v>
                </c:pt>
                <c:pt idx="103">
                  <c:v>67.522215874517741</c:v>
                </c:pt>
                <c:pt idx="104">
                  <c:v>68.357251616075771</c:v>
                </c:pt>
                <c:pt idx="105">
                  <c:v>69.204613231676404</c:v>
                </c:pt>
                <c:pt idx="106">
                  <c:v>69.997330275539369</c:v>
                </c:pt>
                <c:pt idx="107">
                  <c:v>70.767555021724448</c:v>
                </c:pt>
                <c:pt idx="108">
                  <c:v>71.488300424007164</c:v>
                </c:pt>
                <c:pt idx="109">
                  <c:v>72.187856649853259</c:v>
                </c:pt>
                <c:pt idx="110">
                  <c:v>72.865321412191832</c:v>
                </c:pt>
                <c:pt idx="111">
                  <c:v>73.49892573216421</c:v>
                </c:pt>
                <c:pt idx="112">
                  <c:v>74.11212623780402</c:v>
                </c:pt>
                <c:pt idx="113">
                  <c:v>74.70444861505753</c:v>
                </c:pt>
                <c:pt idx="114">
                  <c:v>75.258336615048719</c:v>
                </c:pt>
                <c:pt idx="115">
                  <c:v>75.809343805105229</c:v>
                </c:pt>
                <c:pt idx="116">
                  <c:v>76.308849310567595</c:v>
                </c:pt>
                <c:pt idx="117">
                  <c:v>76.805239527459889</c:v>
                </c:pt>
                <c:pt idx="118">
                  <c:v>77.282435970145627</c:v>
                </c:pt>
                <c:pt idx="119">
                  <c:v>77.728301871702172</c:v>
                </c:pt>
                <c:pt idx="120">
                  <c:v>78.157028923420654</c:v>
                </c:pt>
                <c:pt idx="121">
                  <c:v>78.568796500037408</c:v>
                </c:pt>
                <c:pt idx="122">
                  <c:v>78.963855130792808</c:v>
                </c:pt>
                <c:pt idx="123">
                  <c:v>79.333125618623612</c:v>
                </c:pt>
                <c:pt idx="124">
                  <c:v>79.696371965374681</c:v>
                </c:pt>
                <c:pt idx="125">
                  <c:v>80.035745623072387</c:v>
                </c:pt>
                <c:pt idx="126">
                  <c:v>80.368622667439254</c:v>
                </c:pt>
                <c:pt idx="127">
                  <c:v>80.679534720019447</c:v>
                </c:pt>
                <c:pt idx="128">
                  <c:v>80.977059758103422</c:v>
                </c:pt>
                <c:pt idx="129">
                  <c:v>81.267846156768272</c:v>
                </c:pt>
                <c:pt idx="130">
                  <c:v>81.539408957985827</c:v>
                </c:pt>
                <c:pt idx="131">
                  <c:v>81.804305630342625</c:v>
                </c:pt>
                <c:pt idx="132">
                  <c:v>82.051715222363129</c:v>
                </c:pt>
                <c:pt idx="133">
                  <c:v>82.292653650270424</c:v>
                </c:pt>
                <c:pt idx="134">
                  <c:v>82.522174579691324</c:v>
                </c:pt>
                <c:pt idx="135">
                  <c:v>82.740771112812268</c:v>
                </c:pt>
                <c:pt idx="136">
                  <c:v>82.948925557321431</c:v>
                </c:pt>
                <c:pt idx="137">
                  <c:v>83.147107953913334</c:v>
                </c:pt>
                <c:pt idx="138">
                  <c:v>83.339150037100652</c:v>
                </c:pt>
                <c:pt idx="139">
                  <c:v>83.521674680192646</c:v>
                </c:pt>
                <c:pt idx="140">
                  <c:v>83.695155908450744</c:v>
                </c:pt>
                <c:pt idx="141">
                  <c:v>83.860047957975112</c:v>
                </c:pt>
                <c:pt idx="142">
                  <c:v>84.019352017889659</c:v>
                </c:pt>
                <c:pt idx="143">
                  <c:v>84.172974520029413</c:v>
                </c:pt>
                <c:pt idx="144">
                  <c:v>84.316401445396068</c:v>
                </c:pt>
                <c:pt idx="145">
                  <c:v>84.454694383936982</c:v>
                </c:pt>
                <c:pt idx="146">
                  <c:v>84.587828717453192</c:v>
                </c:pt>
                <c:pt idx="147">
                  <c:v>84.713994867619846</c:v>
                </c:pt>
                <c:pt idx="148">
                  <c:v>84.835293798343727</c:v>
                </c:pt>
                <c:pt idx="149">
                  <c:v>84.950180876574805</c:v>
                </c:pt>
                <c:pt idx="150">
                  <c:v>85.060516590848664</c:v>
                </c:pt>
                <c:pt idx="151">
                  <c:v>85.166363265888748</c:v>
                </c:pt>
                <c:pt idx="152">
                  <c:v>85.266510820677965</c:v>
                </c:pt>
                <c:pt idx="153">
                  <c:v>85.362515288568417</c:v>
                </c:pt>
                <c:pt idx="154">
                  <c:v>85.454465866110837</c:v>
                </c:pt>
                <c:pt idx="155">
                  <c:v>85.542462392244005</c:v>
                </c:pt>
                <c:pt idx="156">
                  <c:v>85.626613221709505</c:v>
                </c:pt>
                <c:pt idx="157">
                  <c:v>85.706119067370352</c:v>
                </c:pt>
                <c:pt idx="158">
                  <c:v>85.782989474711869</c:v>
                </c:pt>
                <c:pt idx="159">
                  <c:v>85.85557158601749</c:v>
                </c:pt>
                <c:pt idx="160">
                  <c:v>85.925637747369493</c:v>
                </c:pt>
                <c:pt idx="161">
                  <c:v>85.992461136292633</c:v>
                </c:pt>
                <c:pt idx="162">
                  <c:v>86.056168739205205</c:v>
                </c:pt>
                <c:pt idx="163">
                  <c:v>86.116886737420003</c:v>
                </c:pt>
                <c:pt idx="164">
                  <c:v>86.174739811056682</c:v>
                </c:pt>
                <c:pt idx="165">
                  <c:v>86.230377636099647</c:v>
                </c:pt>
                <c:pt idx="166">
                  <c:v>86.283323315498677</c:v>
                </c:pt>
                <c:pt idx="167">
                  <c:v>86.333701239050711</c:v>
                </c:pt>
                <c:pt idx="168">
                  <c:v>86.38206060916184</c:v>
                </c:pt>
                <c:pt idx="169">
                  <c:v>86.428432458534516</c:v>
                </c:pt>
                <c:pt idx="170">
                  <c:v>86.472481839004971</c:v>
                </c:pt>
                <c:pt idx="171">
                  <c:v>86.514676149970356</c:v>
                </c:pt>
                <c:pt idx="172">
                  <c:v>86.554734382876802</c:v>
                </c:pt>
                <c:pt idx="173">
                  <c:v>86.593073424080416</c:v>
                </c:pt>
                <c:pt idx="174">
                  <c:v>86.629740597154353</c:v>
                </c:pt>
                <c:pt idx="175">
                  <c:v>86.664786026956165</c:v>
                </c:pt>
                <c:pt idx="176">
                  <c:v>86.698261917849464</c:v>
                </c:pt>
                <c:pt idx="177">
                  <c:v>86.73022191809936</c:v>
                </c:pt>
                <c:pt idx="178">
                  <c:v>86.760935574303872</c:v>
                </c:pt>
                <c:pt idx="179">
                  <c:v>86.790013510506355</c:v>
                </c:pt>
                <c:pt idx="180">
                  <c:v>86.817928240055195</c:v>
                </c:pt>
                <c:pt idx="181">
                  <c:v>86.844522083898937</c:v>
                </c:pt>
                <c:pt idx="182">
                  <c:v>86.869851473741548</c:v>
                </c:pt>
                <c:pt idx="183">
                  <c:v>86.894123999875362</c:v>
                </c:pt>
                <c:pt idx="184">
                  <c:v>86.917221168622007</c:v>
                </c:pt>
                <c:pt idx="185">
                  <c:v>86.939330301430743</c:v>
                </c:pt>
                <c:pt idx="186">
                  <c:v>86.960477843561321</c:v>
                </c:pt>
                <c:pt idx="187">
                  <c:v>86.98069198306149</c:v>
                </c:pt>
                <c:pt idx="188">
                  <c:v>87.000002220521282</c:v>
                </c:pt>
                <c:pt idx="189">
                  <c:v>87.018338353564658</c:v>
                </c:pt>
                <c:pt idx="190">
                  <c:v>87.035939406913855</c:v>
                </c:pt>
                <c:pt idx="191">
                  <c:v>87.052728915921861</c:v>
                </c:pt>
                <c:pt idx="192">
                  <c:v>87.068820134789661</c:v>
                </c:pt>
                <c:pt idx="193">
                  <c:v>87.084075279246179</c:v>
                </c:pt>
                <c:pt idx="194">
                  <c:v>87.098755488073465</c:v>
                </c:pt>
                <c:pt idx="195">
                  <c:v>87.112729715402409</c:v>
                </c:pt>
                <c:pt idx="196">
                  <c:v>87.126029781363997</c:v>
                </c:pt>
                <c:pt idx="197">
                  <c:v>87.138802504396295</c:v>
                </c:pt>
                <c:pt idx="198">
                  <c:v>87.150946623374168</c:v>
                </c:pt>
                <c:pt idx="199">
                  <c:v>87.162543223079112</c:v>
                </c:pt>
                <c:pt idx="200">
                  <c:v>87.173658796705666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69280"/>
        <c:axId val="249571200"/>
      </c:scatterChart>
      <c:valAx>
        <c:axId val="249569280"/>
        <c:scaling>
          <c:logBase val="10"/>
          <c:orientation val="minMax"/>
          <c:min val="1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 [Hz]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571200"/>
        <c:crosses val="autoZero"/>
        <c:crossBetween val="midCat"/>
      </c:valAx>
      <c:valAx>
        <c:axId val="24957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Power  [Watts]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569280"/>
        <c:crosses val="autoZero"/>
        <c:crossBetween val="midCat"/>
        <c:minorUnit val="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Displacement vs Frequency for Maximum Voltage Input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Driver Displmnt</c:v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Model'!$R$167:$R$367</c:f>
              <c:numCache>
                <c:formatCode>0.0</c:formatCode>
                <c:ptCount val="201"/>
                <c:pt idx="0">
                  <c:v>21.562659094205117</c:v>
                </c:pt>
                <c:pt idx="1">
                  <c:v>21.438760234447958</c:v>
                </c:pt>
                <c:pt idx="2">
                  <c:v>21.306442899567749</c:v>
                </c:pt>
                <c:pt idx="3">
                  <c:v>21.165313913078194</c:v>
                </c:pt>
                <c:pt idx="4">
                  <c:v>21.026656885259076</c:v>
                </c:pt>
                <c:pt idx="5">
                  <c:v>20.872928814778909</c:v>
                </c:pt>
                <c:pt idx="6">
                  <c:v>20.71553383653799</c:v>
                </c:pt>
                <c:pt idx="7">
                  <c:v>20.548191870181824</c:v>
                </c:pt>
                <c:pt idx="8">
                  <c:v>20.376869217507288</c:v>
                </c:pt>
                <c:pt idx="9">
                  <c:v>20.194980117971269</c:v>
                </c:pt>
                <c:pt idx="10">
                  <c:v>20.002043989907669</c:v>
                </c:pt>
                <c:pt idx="11">
                  <c:v>19.80445406989179</c:v>
                </c:pt>
                <c:pt idx="12">
                  <c:v>19.595126390431957</c:v>
                </c:pt>
                <c:pt idx="13">
                  <c:v>19.373527965557624</c:v>
                </c:pt>
                <c:pt idx="14">
                  <c:v>19.146513296904256</c:v>
                </c:pt>
                <c:pt idx="15">
                  <c:v>18.898856300294796</c:v>
                </c:pt>
                <c:pt idx="16">
                  <c:v>18.65275102044513</c:v>
                </c:pt>
                <c:pt idx="17">
                  <c:v>18.384785045925831</c:v>
                </c:pt>
                <c:pt idx="18">
                  <c:v>18.10189874327946</c:v>
                </c:pt>
                <c:pt idx="19">
                  <c:v>17.811798682838894</c:v>
                </c:pt>
                <c:pt idx="20">
                  <c:v>17.505803440307723</c:v>
                </c:pt>
                <c:pt idx="21">
                  <c:v>17.183180561827083</c:v>
                </c:pt>
                <c:pt idx="22">
                  <c:v>16.84316326889482</c:v>
                </c:pt>
                <c:pt idx="23">
                  <c:v>16.494253950332851</c:v>
                </c:pt>
                <c:pt idx="24">
                  <c:v>16.117265418693247</c:v>
                </c:pt>
                <c:pt idx="25">
                  <c:v>15.730205645850923</c:v>
                </c:pt>
                <c:pt idx="26">
                  <c:v>15.312849051914515</c:v>
                </c:pt>
                <c:pt idx="27">
                  <c:v>14.884194726328465</c:v>
                </c:pt>
                <c:pt idx="28">
                  <c:v>14.433570774426496</c:v>
                </c:pt>
                <c:pt idx="29">
                  <c:v>13.949227499605845</c:v>
                </c:pt>
                <c:pt idx="30">
                  <c:v>13.451888913298882</c:v>
                </c:pt>
                <c:pt idx="31">
                  <c:v>12.91873329873102</c:v>
                </c:pt>
                <c:pt idx="32">
                  <c:v>12.371867642076726</c:v>
                </c:pt>
                <c:pt idx="33">
                  <c:v>11.787647431231047</c:v>
                </c:pt>
                <c:pt idx="34">
                  <c:v>11.177481811379041</c:v>
                </c:pt>
                <c:pt idx="35">
                  <c:v>10.541693589014244</c:v>
                </c:pt>
                <c:pt idx="36">
                  <c:v>9.8811393150378137</c:v>
                </c:pt>
                <c:pt idx="37">
                  <c:v>9.1973712998560231</c:v>
                </c:pt>
                <c:pt idx="38">
                  <c:v>8.4797371256323402</c:v>
                </c:pt>
                <c:pt idx="39">
                  <c:v>7.7448560211102491</c:v>
                </c:pt>
                <c:pt idx="40">
                  <c:v>6.9980879116303685</c:v>
                </c:pt>
                <c:pt idx="41">
                  <c:v>6.246798045518525</c:v>
                </c:pt>
                <c:pt idx="42">
                  <c:v>5.4886200275609189</c:v>
                </c:pt>
                <c:pt idx="43">
                  <c:v>4.7394067576014693</c:v>
                </c:pt>
                <c:pt idx="44">
                  <c:v>4.0440977410505363</c:v>
                </c:pt>
                <c:pt idx="45">
                  <c:v>3.4109237867688216</c:v>
                </c:pt>
                <c:pt idx="46">
                  <c:v>2.8895374550351987</c:v>
                </c:pt>
                <c:pt idx="47">
                  <c:v>2.5499028367509666</c:v>
                </c:pt>
                <c:pt idx="48">
                  <c:v>2.4406392039604428</c:v>
                </c:pt>
                <c:pt idx="49">
                  <c:v>2.5619939037653454</c:v>
                </c:pt>
                <c:pt idx="50">
                  <c:v>2.8517886296164039</c:v>
                </c:pt>
                <c:pt idx="51">
                  <c:v>3.2336266799183795</c:v>
                </c:pt>
                <c:pt idx="52">
                  <c:v>3.6430586348617329</c:v>
                </c:pt>
                <c:pt idx="53">
                  <c:v>4.0489132870042743</c:v>
                </c:pt>
                <c:pt idx="54">
                  <c:v>4.4298929738003983</c:v>
                </c:pt>
                <c:pt idx="55">
                  <c:v>4.7739810533787885</c:v>
                </c:pt>
                <c:pt idx="56">
                  <c:v>5.0750089443350967</c:v>
                </c:pt>
                <c:pt idx="57">
                  <c:v>5.3278694595978378</c:v>
                </c:pt>
                <c:pt idx="58">
                  <c:v>5.5386247164087861</c:v>
                </c:pt>
                <c:pt idx="59">
                  <c:v>5.7040039412471684</c:v>
                </c:pt>
                <c:pt idx="60">
                  <c:v>5.8304156538624925</c:v>
                </c:pt>
                <c:pt idx="61">
                  <c:v>5.9190050936513083</c:v>
                </c:pt>
                <c:pt idx="62">
                  <c:v>5.9733584238336173</c:v>
                </c:pt>
                <c:pt idx="63">
                  <c:v>5.997142180883241</c:v>
                </c:pt>
                <c:pt idx="64">
                  <c:v>5.9939553068994735</c:v>
                </c:pt>
                <c:pt idx="65">
                  <c:v>5.9668642387208832</c:v>
                </c:pt>
                <c:pt idx="66">
                  <c:v>5.9190974306229522</c:v>
                </c:pt>
                <c:pt idx="67">
                  <c:v>5.8537079507799659</c:v>
                </c:pt>
                <c:pt idx="68">
                  <c:v>5.7726646079347148</c:v>
                </c:pt>
                <c:pt idx="69">
                  <c:v>5.6781863658439011</c:v>
                </c:pt>
                <c:pt idx="70">
                  <c:v>5.573299622253451</c:v>
                </c:pt>
                <c:pt idx="71">
                  <c:v>5.4590645514569864</c:v>
                </c:pt>
                <c:pt idx="72">
                  <c:v>5.3382153951878362</c:v>
                </c:pt>
                <c:pt idx="73">
                  <c:v>5.2113069119106754</c:v>
                </c:pt>
                <c:pt idx="74">
                  <c:v>5.0797003619165286</c:v>
                </c:pt>
                <c:pt idx="75">
                  <c:v>4.9446163644048653</c:v>
                </c:pt>
                <c:pt idx="76">
                  <c:v>4.8071413160897176</c:v>
                </c:pt>
                <c:pt idx="77">
                  <c:v>4.6682352290966644</c:v>
                </c:pt>
                <c:pt idx="78">
                  <c:v>4.5277330115383352</c:v>
                </c:pt>
                <c:pt idx="79">
                  <c:v>4.388407885379312</c:v>
                </c:pt>
                <c:pt idx="80">
                  <c:v>4.2489102838812824</c:v>
                </c:pt>
                <c:pt idx="81">
                  <c:v>4.1107981707340588</c:v>
                </c:pt>
                <c:pt idx="82">
                  <c:v>3.9745376891974638</c:v>
                </c:pt>
                <c:pt idx="83">
                  <c:v>3.8396599910171103</c:v>
                </c:pt>
                <c:pt idx="84">
                  <c:v>3.7074147550588448</c:v>
                </c:pt>
                <c:pt idx="85">
                  <c:v>3.5772743531270392</c:v>
                </c:pt>
                <c:pt idx="86">
                  <c:v>3.4495505221298752</c:v>
                </c:pt>
                <c:pt idx="87">
                  <c:v>3.3245057326262253</c:v>
                </c:pt>
                <c:pt idx="88">
                  <c:v>3.2023570078126085</c:v>
                </c:pt>
                <c:pt idx="89">
                  <c:v>3.0839362682386371</c:v>
                </c:pt>
                <c:pt idx="90">
                  <c:v>2.9680360711151046</c:v>
                </c:pt>
                <c:pt idx="91">
                  <c:v>2.8554497056658388</c:v>
                </c:pt>
                <c:pt idx="92">
                  <c:v>2.7456878784867471</c:v>
                </c:pt>
                <c:pt idx="93">
                  <c:v>2.6399515589514011</c:v>
                </c:pt>
                <c:pt idx="94">
                  <c:v>2.5366599874702862</c:v>
                </c:pt>
                <c:pt idx="95">
                  <c:v>2.4369334806055876</c:v>
                </c:pt>
                <c:pt idx="96">
                  <c:v>2.3407486382785168</c:v>
                </c:pt>
                <c:pt idx="97">
                  <c:v>2.2472127980370487</c:v>
                </c:pt>
                <c:pt idx="98">
                  <c:v>2.1572225865674097</c:v>
                </c:pt>
                <c:pt idx="99">
                  <c:v>2.0703277224467169</c:v>
                </c:pt>
                <c:pt idx="100">
                  <c:v>1.9861555903009827</c:v>
                </c:pt>
                <c:pt idx="101">
                  <c:v>1.9060918611864197</c:v>
                </c:pt>
                <c:pt idx="102">
                  <c:v>1.8273710597520691</c:v>
                </c:pt>
                <c:pt idx="103">
                  <c:v>1.7502309575594992</c:v>
                </c:pt>
                <c:pt idx="104">
                  <c:v>1.6805041099835178</c:v>
                </c:pt>
                <c:pt idx="105">
                  <c:v>1.6093977506067081</c:v>
                </c:pt>
                <c:pt idx="106">
                  <c:v>1.542559071386697</c:v>
                </c:pt>
                <c:pt idx="107">
                  <c:v>1.4773240447285756</c:v>
                </c:pt>
                <c:pt idx="108">
                  <c:v>1.4160195910201538</c:v>
                </c:pt>
                <c:pt idx="109">
                  <c:v>1.3562780101702192</c:v>
                </c:pt>
                <c:pt idx="110">
                  <c:v>1.2981992259569228</c:v>
                </c:pt>
                <c:pt idx="111">
                  <c:v>1.2436821409096899</c:v>
                </c:pt>
                <c:pt idx="112">
                  <c:v>1.1907387645533549</c:v>
                </c:pt>
                <c:pt idx="113">
                  <c:v>1.1394287731451715</c:v>
                </c:pt>
                <c:pt idx="114">
                  <c:v>1.0912982703227185</c:v>
                </c:pt>
                <c:pt idx="115">
                  <c:v>1.0432748760154578</c:v>
                </c:pt>
                <c:pt idx="116">
                  <c:v>0.99961712092170418</c:v>
                </c:pt>
                <c:pt idx="117">
                  <c:v>0.95611612836515114</c:v>
                </c:pt>
                <c:pt idx="118">
                  <c:v>0.91418895024862701</c:v>
                </c:pt>
                <c:pt idx="119">
                  <c:v>0.8749189359735331</c:v>
                </c:pt>
                <c:pt idx="120">
                  <c:v>0.83707160715284168</c:v>
                </c:pt>
                <c:pt idx="121">
                  <c:v>0.80064150537730494</c:v>
                </c:pt>
                <c:pt idx="122">
                  <c:v>0.76561626582364106</c:v>
                </c:pt>
                <c:pt idx="123">
                  <c:v>0.73281250968916833</c:v>
                </c:pt>
                <c:pt idx="124">
                  <c:v>0.70048291058835999</c:v>
                </c:pt>
                <c:pt idx="125">
                  <c:v>0.67022349200913545</c:v>
                </c:pt>
                <c:pt idx="126">
                  <c:v>0.6404922628845704</c:v>
                </c:pt>
                <c:pt idx="127">
                  <c:v>0.61267727653332082</c:v>
                </c:pt>
                <c:pt idx="128">
                  <c:v>0.58601878515254113</c:v>
                </c:pt>
                <c:pt idx="129">
                  <c:v>0.55992527557639582</c:v>
                </c:pt>
                <c:pt idx="130">
                  <c:v>0.53552220338915524</c:v>
                </c:pt>
                <c:pt idx="131">
                  <c:v>0.511686039669075</c:v>
                </c:pt>
                <c:pt idx="132">
                  <c:v>0.48939481145089503</c:v>
                </c:pt>
                <c:pt idx="133">
                  <c:v>0.4676601158285873</c:v>
                </c:pt>
                <c:pt idx="134">
                  <c:v>0.44693108419384253</c:v>
                </c:pt>
                <c:pt idx="135">
                  <c:v>0.42716667747421722</c:v>
                </c:pt>
                <c:pt idx="136">
                  <c:v>0.4083264651919809</c:v>
                </c:pt>
                <c:pt idx="137">
                  <c:v>0.39037078912955786</c:v>
                </c:pt>
                <c:pt idx="138">
                  <c:v>0.3729546683672415</c:v>
                </c:pt>
                <c:pt idx="139">
                  <c:v>0.35638639637467417</c:v>
                </c:pt>
                <c:pt idx="140">
                  <c:v>0.34062523371089015</c:v>
                </c:pt>
                <c:pt idx="141">
                  <c:v>0.32563197585912523</c:v>
                </c:pt>
                <c:pt idx="142">
                  <c:v>0.31113531681612605</c:v>
                </c:pt>
                <c:pt idx="143">
                  <c:v>0.29714498143890783</c:v>
                </c:pt>
                <c:pt idx="144">
                  <c:v>0.28407368089822976</c:v>
                </c:pt>
                <c:pt idx="145">
                  <c:v>0.27146161563603421</c:v>
                </c:pt>
                <c:pt idx="146">
                  <c:v>0.25931198615090423</c:v>
                </c:pt>
                <c:pt idx="147">
                  <c:v>0.24779100774442114</c:v>
                </c:pt>
                <c:pt idx="148">
                  <c:v>0.23670783308180643</c:v>
                </c:pt>
                <c:pt idx="149">
                  <c:v>0.22620450652442353</c:v>
                </c:pt>
                <c:pt idx="150">
                  <c:v>0.21611178160726222</c:v>
                </c:pt>
                <c:pt idx="151">
                  <c:v>0.20642462296611652</c:v>
                </c:pt>
                <c:pt idx="152">
                  <c:v>0.19725449355452676</c:v>
                </c:pt>
                <c:pt idx="153">
                  <c:v>0.18845957266552626</c:v>
                </c:pt>
                <c:pt idx="154">
                  <c:v>0.18003221277811901</c:v>
                </c:pt>
                <c:pt idx="155">
                  <c:v>0.17196375320314519</c:v>
                </c:pt>
                <c:pt idx="156">
                  <c:v>0.16424471487882436</c:v>
                </c:pt>
                <c:pt idx="157">
                  <c:v>0.15694888778612801</c:v>
                </c:pt>
                <c:pt idx="158">
                  <c:v>0.14989225378013279</c:v>
                </c:pt>
                <c:pt idx="159">
                  <c:v>0.14322689391680413</c:v>
                </c:pt>
                <c:pt idx="160">
                  <c:v>0.13679037987808074</c:v>
                </c:pt>
                <c:pt idx="161">
                  <c:v>0.13064974628473658</c:v>
                </c:pt>
                <c:pt idx="162">
                  <c:v>0.1247936051622839</c:v>
                </c:pt>
                <c:pt idx="163">
                  <c:v>0.11921061497270057</c:v>
                </c:pt>
                <c:pt idx="164">
                  <c:v>0.1138895464909791</c:v>
                </c:pt>
                <c:pt idx="165">
                  <c:v>0.10877084029569618</c:v>
                </c:pt>
                <c:pt idx="166">
                  <c:v>0.1038985509093546</c:v>
                </c:pt>
                <c:pt idx="167">
                  <c:v>9.926141534291974E-2</c:v>
                </c:pt>
                <c:pt idx="168">
                  <c:v>9.4809034145041424E-2</c:v>
                </c:pt>
                <c:pt idx="169">
                  <c:v>9.0538677977752655E-2</c:v>
                </c:pt>
                <c:pt idx="170">
                  <c:v>8.6481323432843343E-2</c:v>
                </c:pt>
                <c:pt idx="171">
                  <c:v>8.2594040380054939E-2</c:v>
                </c:pt>
                <c:pt idx="172">
                  <c:v>7.8902828277941539E-2</c:v>
                </c:pt>
                <c:pt idx="173">
                  <c:v>7.536937468078167E-2</c:v>
                </c:pt>
                <c:pt idx="174">
                  <c:v>7.1989403705044946E-2</c:v>
                </c:pt>
                <c:pt idx="175">
                  <c:v>6.875837435855052E-2</c:v>
                </c:pt>
                <c:pt idx="176">
                  <c:v>6.5671547243445524E-2</c:v>
                </c:pt>
                <c:pt idx="177">
                  <c:v>6.2724043389432022E-2</c:v>
                </c:pt>
                <c:pt idx="178">
                  <c:v>5.9891062131093728E-2</c:v>
                </c:pt>
                <c:pt idx="179">
                  <c:v>5.7208576852294989E-2</c:v>
                </c:pt>
                <c:pt idx="180">
                  <c:v>5.4633051222555636E-2</c:v>
                </c:pt>
                <c:pt idx="181">
                  <c:v>5.2179078819258595E-2</c:v>
                </c:pt>
                <c:pt idx="182">
                  <c:v>4.9841497540757673E-2</c:v>
                </c:pt>
                <c:pt idx="183">
                  <c:v>4.7601188153883985E-2</c:v>
                </c:pt>
                <c:pt idx="184">
                  <c:v>4.5469122921004461E-2</c:v>
                </c:pt>
                <c:pt idx="185">
                  <c:v>4.3428043366222871E-2</c:v>
                </c:pt>
                <c:pt idx="186">
                  <c:v>4.1475536407357509E-2</c:v>
                </c:pt>
                <c:pt idx="187">
                  <c:v>3.9609025810941043E-2</c:v>
                </c:pt>
                <c:pt idx="188">
                  <c:v>3.7825811962548889E-2</c:v>
                </c:pt>
                <c:pt idx="189">
                  <c:v>3.6132401495002166E-2</c:v>
                </c:pt>
                <c:pt idx="190">
                  <c:v>3.4506740224776122E-2</c:v>
                </c:pt>
                <c:pt idx="191">
                  <c:v>3.2955908374177022E-2</c:v>
                </c:pt>
                <c:pt idx="192">
                  <c:v>3.1469461412928286E-2</c:v>
                </c:pt>
                <c:pt idx="193">
                  <c:v>3.0060143479067537E-2</c:v>
                </c:pt>
                <c:pt idx="194">
                  <c:v>2.8703843945683791E-2</c:v>
                </c:pt>
                <c:pt idx="195">
                  <c:v>2.7412682384539696E-2</c:v>
                </c:pt>
                <c:pt idx="196">
                  <c:v>2.6183731393572489E-2</c:v>
                </c:pt>
                <c:pt idx="197">
                  <c:v>2.5003435184098335E-2</c:v>
                </c:pt>
                <c:pt idx="198">
                  <c:v>2.3881160698072203E-2</c:v>
                </c:pt>
                <c:pt idx="199">
                  <c:v>2.2809424025183652E-2</c:v>
                </c:pt>
                <c:pt idx="200">
                  <c:v>2.1782087813611652E-2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18432"/>
        <c:axId val="249620352"/>
      </c:scatterChart>
      <c:scatterChart>
        <c:scatterStyle val="lineMarker"/>
        <c:varyColors val="0"/>
        <c:ser>
          <c:idx val="1"/>
          <c:order val="1"/>
          <c:tx>
            <c:v>Port Vel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Model'!$S$167:$S$367</c:f>
              <c:numCache>
                <c:formatCode>0.0</c:formatCode>
                <c:ptCount val="201"/>
                <c:pt idx="0">
                  <c:v>8.8322859948709134</c:v>
                </c:pt>
                <c:pt idx="1">
                  <c:v>9.0353057011089728</c:v>
                </c:pt>
                <c:pt idx="2">
                  <c:v>9.2471206071626391</c:v>
                </c:pt>
                <c:pt idx="3">
                  <c:v>9.467720443650002</c:v>
                </c:pt>
                <c:pt idx="4">
                  <c:v>9.6794502875613198</c:v>
                </c:pt>
                <c:pt idx="5">
                  <c:v>9.9087643967095982</c:v>
                </c:pt>
                <c:pt idx="6">
                  <c:v>10.138005296265582</c:v>
                </c:pt>
                <c:pt idx="7">
                  <c:v>10.375971885563651</c:v>
                </c:pt>
                <c:pt idx="8">
                  <c:v>10.613829174157029</c:v>
                </c:pt>
                <c:pt idx="9">
                  <c:v>10.860360299411674</c:v>
                </c:pt>
                <c:pt idx="10">
                  <c:v>11.115524925581308</c:v>
                </c:pt>
                <c:pt idx="11">
                  <c:v>11.370484881415029</c:v>
                </c:pt>
                <c:pt idx="12">
                  <c:v>11.633983550141958</c:v>
                </c:pt>
                <c:pt idx="13">
                  <c:v>11.905948057789155</c:v>
                </c:pt>
                <c:pt idx="14">
                  <c:v>12.177533812103041</c:v>
                </c:pt>
                <c:pt idx="15">
                  <c:v>12.466152053921373</c:v>
                </c:pt>
                <c:pt idx="16">
                  <c:v>12.745459373431089</c:v>
                </c:pt>
                <c:pt idx="17">
                  <c:v>13.041508065769012</c:v>
                </c:pt>
                <c:pt idx="18">
                  <c:v>13.345361124916543</c:v>
                </c:pt>
                <c:pt idx="19">
                  <c:v>13.648139227047331</c:v>
                </c:pt>
                <c:pt idx="20">
                  <c:v>13.958253522996856</c:v>
                </c:pt>
                <c:pt idx="21">
                  <c:v>14.275355525567957</c:v>
                </c:pt>
                <c:pt idx="22">
                  <c:v>14.599018065263172</c:v>
                </c:pt>
                <c:pt idx="23">
                  <c:v>14.920299504849877</c:v>
                </c:pt>
                <c:pt idx="24">
                  <c:v>15.255483855822707</c:v>
                </c:pt>
                <c:pt idx="25">
                  <c:v>15.587070792794508</c:v>
                </c:pt>
                <c:pt idx="26">
                  <c:v>15.930718670454141</c:v>
                </c:pt>
                <c:pt idx="27">
                  <c:v>16.268978251327251</c:v>
                </c:pt>
                <c:pt idx="28">
                  <c:v>16.608803630769547</c:v>
                </c:pt>
                <c:pt idx="29">
                  <c:v>16.956280712350537</c:v>
                </c:pt>
                <c:pt idx="30">
                  <c:v>17.294108289086612</c:v>
                </c:pt>
                <c:pt idx="31">
                  <c:v>17.635053386891908</c:v>
                </c:pt>
                <c:pt idx="32">
                  <c:v>17.962027089915004</c:v>
                </c:pt>
                <c:pt idx="33">
                  <c:v>18.285874649319407</c:v>
                </c:pt>
                <c:pt idx="34">
                  <c:v>18.595898290068728</c:v>
                </c:pt>
                <c:pt idx="35">
                  <c:v>18.888021279909555</c:v>
                </c:pt>
                <c:pt idx="36">
                  <c:v>19.157671571828967</c:v>
                </c:pt>
                <c:pt idx="37">
                  <c:v>19.399809935738777</c:v>
                </c:pt>
                <c:pt idx="38">
                  <c:v>19.612490542469647</c:v>
                </c:pt>
                <c:pt idx="39">
                  <c:v>19.784850409585694</c:v>
                </c:pt>
                <c:pt idx="40">
                  <c:v>19.910816347768726</c:v>
                </c:pt>
                <c:pt idx="41">
                  <c:v>19.984452196868279</c:v>
                </c:pt>
                <c:pt idx="42">
                  <c:v>20</c:v>
                </c:pt>
                <c:pt idx="43">
                  <c:v>19.949486830338767</c:v>
                </c:pt>
                <c:pt idx="44">
                  <c:v>19.830882277818613</c:v>
                </c:pt>
                <c:pt idx="45">
                  <c:v>19.638292984946741</c:v>
                </c:pt>
                <c:pt idx="46">
                  <c:v>19.368311820141617</c:v>
                </c:pt>
                <c:pt idx="47">
                  <c:v>19.025508556613655</c:v>
                </c:pt>
                <c:pt idx="48">
                  <c:v>18.607689742997245</c:v>
                </c:pt>
                <c:pt idx="49">
                  <c:v>18.126083696580629</c:v>
                </c:pt>
                <c:pt idx="50">
                  <c:v>17.581115177137352</c:v>
                </c:pt>
                <c:pt idx="51">
                  <c:v>16.980834269897219</c:v>
                </c:pt>
                <c:pt idx="52">
                  <c:v>16.343441859635696</c:v>
                </c:pt>
                <c:pt idx="53">
                  <c:v>15.671080032276533</c:v>
                </c:pt>
                <c:pt idx="54">
                  <c:v>14.974073342945163</c:v>
                </c:pt>
                <c:pt idx="55">
                  <c:v>14.26251774608577</c:v>
                </c:pt>
                <c:pt idx="56">
                  <c:v>13.545834145121411</c:v>
                </c:pt>
                <c:pt idx="57">
                  <c:v>12.840694482805635</c:v>
                </c:pt>
                <c:pt idx="58">
                  <c:v>12.137490392488061</c:v>
                </c:pt>
                <c:pt idx="59">
                  <c:v>11.458255787835137</c:v>
                </c:pt>
                <c:pt idx="60">
                  <c:v>10.792256991797263</c:v>
                </c:pt>
                <c:pt idx="61">
                  <c:v>10.150972438949671</c:v>
                </c:pt>
                <c:pt idx="62">
                  <c:v>9.5369209095405267</c:v>
                </c:pt>
                <c:pt idx="63">
                  <c:v>8.9517164628186254</c:v>
                </c:pt>
                <c:pt idx="64">
                  <c:v>8.3962181386069883</c:v>
                </c:pt>
                <c:pt idx="65">
                  <c:v>7.8656690145495149</c:v>
                </c:pt>
                <c:pt idx="66">
                  <c:v>7.3656009906276623</c:v>
                </c:pt>
                <c:pt idx="67">
                  <c:v>6.8953457988018192</c:v>
                </c:pt>
                <c:pt idx="68">
                  <c:v>6.4500404013733181</c:v>
                </c:pt>
                <c:pt idx="69">
                  <c:v>6.0295004123341247</c:v>
                </c:pt>
                <c:pt idx="70">
                  <c:v>5.6365831539252467</c:v>
                </c:pt>
                <c:pt idx="71">
                  <c:v>5.266792234837312</c:v>
                </c:pt>
                <c:pt idx="72">
                  <c:v>4.9221645546671198</c:v>
                </c:pt>
                <c:pt idx="73">
                  <c:v>4.598613421731927</c:v>
                </c:pt>
                <c:pt idx="74">
                  <c:v>4.295270702186599</c:v>
                </c:pt>
                <c:pt idx="75">
                  <c:v>4.0112150762049632</c:v>
                </c:pt>
                <c:pt idx="76">
                  <c:v>3.7454948948797426</c:v>
                </c:pt>
                <c:pt idx="77">
                  <c:v>3.4971466584765332</c:v>
                </c:pt>
                <c:pt idx="78">
                  <c:v>3.263592558985446</c:v>
                </c:pt>
                <c:pt idx="79">
                  <c:v>3.0472607825425118</c:v>
                </c:pt>
                <c:pt idx="80">
                  <c:v>2.8441106066635071</c:v>
                </c:pt>
                <c:pt idx="81">
                  <c:v>2.6548317332246021</c:v>
                </c:pt>
                <c:pt idx="82">
                  <c:v>2.478534637330744</c:v>
                </c:pt>
                <c:pt idx="83">
                  <c:v>2.3133458501041932</c:v>
                </c:pt>
                <c:pt idx="84">
                  <c:v>2.1596622797418541</c:v>
                </c:pt>
                <c:pt idx="85">
                  <c:v>2.0158434749609007</c:v>
                </c:pt>
                <c:pt idx="86">
                  <c:v>1.8813716938531029</c:v>
                </c:pt>
                <c:pt idx="87">
                  <c:v>1.7557348191908733</c:v>
                </c:pt>
                <c:pt idx="88">
                  <c:v>1.6384306290869965</c:v>
                </c:pt>
                <c:pt idx="89">
                  <c:v>1.5295608085881593</c:v>
                </c:pt>
                <c:pt idx="90">
                  <c:v>1.4274190328012626</c:v>
                </c:pt>
                <c:pt idx="91">
                  <c:v>1.3321971661169214</c:v>
                </c:pt>
                <c:pt idx="92">
                  <c:v>1.2430103695338974</c:v>
                </c:pt>
                <c:pt idx="93">
                  <c:v>1.1603778788095069</c:v>
                </c:pt>
                <c:pt idx="94">
                  <c:v>1.0826666736658825</c:v>
                </c:pt>
                <c:pt idx="95">
                  <c:v>1.0103783816725109</c:v>
                </c:pt>
                <c:pt idx="96">
                  <c:v>0.94314084044490598</c:v>
                </c:pt>
                <c:pt idx="97">
                  <c:v>0.8800383372596956</c:v>
                </c:pt>
                <c:pt idx="98">
                  <c:v>0.82140765520776438</c:v>
                </c:pt>
                <c:pt idx="99">
                  <c:v>0.76669259521059685</c:v>
                </c:pt>
                <c:pt idx="100">
                  <c:v>0.71544106556286902</c:v>
                </c:pt>
                <c:pt idx="101">
                  <c:v>0.66826495835207045</c:v>
                </c:pt>
                <c:pt idx="102">
                  <c:v>0.62335710255993693</c:v>
                </c:pt>
                <c:pt idx="103">
                  <c:v>0.58075593677120263</c:v>
                </c:pt>
                <c:pt idx="104">
                  <c:v>0.54343435569782517</c:v>
                </c:pt>
                <c:pt idx="105">
                  <c:v>0.50652483838341689</c:v>
                </c:pt>
                <c:pt idx="106">
                  <c:v>0.4728833536199481</c:v>
                </c:pt>
                <c:pt idx="107">
                  <c:v>0.44102816233150061</c:v>
                </c:pt>
                <c:pt idx="108">
                  <c:v>0.41197098543882915</c:v>
                </c:pt>
                <c:pt idx="109">
                  <c:v>0.38447199992167225</c:v>
                </c:pt>
                <c:pt idx="110">
                  <c:v>0.35851126038078163</c:v>
                </c:pt>
                <c:pt idx="111">
                  <c:v>0.33483610646079881</c:v>
                </c:pt>
                <c:pt idx="112">
                  <c:v>0.31248809283462919</c:v>
                </c:pt>
                <c:pt idx="113">
                  <c:v>0.29143630195463122</c:v>
                </c:pt>
                <c:pt idx="114">
                  <c:v>0.27223377531184045</c:v>
                </c:pt>
                <c:pt idx="115">
                  <c:v>0.25360190806504468</c:v>
                </c:pt>
                <c:pt idx="116">
                  <c:v>0.23712382771911331</c:v>
                </c:pt>
                <c:pt idx="117">
                  <c:v>0.22114337384504912</c:v>
                </c:pt>
                <c:pt idx="118">
                  <c:v>0.20615816216262273</c:v>
                </c:pt>
                <c:pt idx="119">
                  <c:v>0.19249684498740427</c:v>
                </c:pt>
                <c:pt idx="120">
                  <c:v>0.17967587843104904</c:v>
                </c:pt>
                <c:pt idx="121">
                  <c:v>0.16765817489647225</c:v>
                </c:pt>
                <c:pt idx="122">
                  <c:v>0.15640575500198675</c:v>
                </c:pt>
                <c:pt idx="123">
                  <c:v>0.14613816695761836</c:v>
                </c:pt>
                <c:pt idx="124">
                  <c:v>0.13627842778269053</c:v>
                </c:pt>
                <c:pt idx="125">
                  <c:v>0.12728607393475602</c:v>
                </c:pt>
                <c:pt idx="126">
                  <c:v>0.11867567952439502</c:v>
                </c:pt>
                <c:pt idx="127">
                  <c:v>0.11082471026744997</c:v>
                </c:pt>
                <c:pt idx="128">
                  <c:v>0.10348810754776339</c:v>
                </c:pt>
                <c:pt idx="129">
                  <c:v>9.6487555604071906E-2</c:v>
                </c:pt>
                <c:pt idx="130">
                  <c:v>9.0104442681989957E-2</c:v>
                </c:pt>
                <c:pt idx="131">
                  <c:v>8.4024794972352643E-2</c:v>
                </c:pt>
                <c:pt idx="132">
                  <c:v>7.8480025893575167E-2</c:v>
                </c:pt>
                <c:pt idx="133">
                  <c:v>7.320675250905187E-2</c:v>
                </c:pt>
                <c:pt idx="134">
                  <c:v>6.8301790180998773E-2</c:v>
                </c:pt>
                <c:pt idx="135">
                  <c:v>6.3739927108195898E-2</c:v>
                </c:pt>
                <c:pt idx="136">
                  <c:v>5.9497454757740473E-2</c:v>
                </c:pt>
                <c:pt idx="137">
                  <c:v>5.5552121972741585E-2</c:v>
                </c:pt>
                <c:pt idx="138">
                  <c:v>5.1818227723326331E-2</c:v>
                </c:pt>
                <c:pt idx="139">
                  <c:v>4.8352467540372666E-2</c:v>
                </c:pt>
                <c:pt idx="140">
                  <c:v>4.5135064363499046E-2</c:v>
                </c:pt>
                <c:pt idx="141">
                  <c:v>4.2147658106765865E-2</c:v>
                </c:pt>
                <c:pt idx="142">
                  <c:v>3.9328322706541054E-2</c:v>
                </c:pt>
                <c:pt idx="143">
                  <c:v>3.6673077833096326E-2</c:v>
                </c:pt>
                <c:pt idx="144">
                  <c:v>3.4251578009646039E-2</c:v>
                </c:pt>
                <c:pt idx="145">
                  <c:v>3.1970490269401491E-2</c:v>
                </c:pt>
                <c:pt idx="146">
                  <c:v>2.982540632712339E-2</c:v>
                </c:pt>
                <c:pt idx="147">
                  <c:v>2.7839689644460364E-2</c:v>
                </c:pt>
                <c:pt idx="148">
                  <c:v>2.5974731935387553E-2</c:v>
                </c:pt>
                <c:pt idx="149">
                  <c:v>2.4249140833440378E-2</c:v>
                </c:pt>
                <c:pt idx="150">
                  <c:v>2.263008016255234E-2</c:v>
                </c:pt>
                <c:pt idx="151">
                  <c:v>2.1112810489838575E-2</c:v>
                </c:pt>
                <c:pt idx="152">
                  <c:v>1.9710332491603044E-2</c:v>
                </c:pt>
                <c:pt idx="153">
                  <c:v>1.8396753781114127E-2</c:v>
                </c:pt>
                <c:pt idx="154">
                  <c:v>1.7167607984450512E-2</c:v>
                </c:pt>
                <c:pt idx="155">
                  <c:v>1.601844649197047E-2</c:v>
                </c:pt>
                <c:pt idx="156">
                  <c:v>1.4944878916498589E-2</c:v>
                </c:pt>
                <c:pt idx="157">
                  <c:v>1.3953868203442176E-2</c:v>
                </c:pt>
                <c:pt idx="158">
                  <c:v>1.3017712006292623E-2</c:v>
                </c:pt>
                <c:pt idx="159">
                  <c:v>1.2154080903974121E-2</c:v>
                </c:pt>
                <c:pt idx="160">
                  <c:v>1.1339510995576504E-2</c:v>
                </c:pt>
                <c:pt idx="161">
                  <c:v>1.0580537252612343E-2</c:v>
                </c:pt>
                <c:pt idx="162">
                  <c:v>9.8735890532994832E-3</c:v>
                </c:pt>
                <c:pt idx="163">
                  <c:v>9.2152712003042269E-3</c:v>
                </c:pt>
                <c:pt idx="164">
                  <c:v>8.6023651603219457E-3</c:v>
                </c:pt>
                <c:pt idx="165">
                  <c:v>8.0264352510745016E-3</c:v>
                </c:pt>
                <c:pt idx="166">
                  <c:v>7.4909491451019897E-3</c:v>
                </c:pt>
                <c:pt idx="167">
                  <c:v>6.9930777028932543E-3</c:v>
                </c:pt>
                <c:pt idx="168">
                  <c:v>6.5260791050400831E-3</c:v>
                </c:pt>
                <c:pt idx="169">
                  <c:v>6.0885521333604092E-3</c:v>
                </c:pt>
                <c:pt idx="170">
                  <c:v>5.6824698682977539E-3</c:v>
                </c:pt>
                <c:pt idx="171">
                  <c:v>5.3023963789496963E-3</c:v>
                </c:pt>
                <c:pt idx="172">
                  <c:v>4.9498127404458145E-3</c:v>
                </c:pt>
                <c:pt idx="173">
                  <c:v>4.6200572132613187E-3</c:v>
                </c:pt>
                <c:pt idx="174">
                  <c:v>4.3118841586601894E-3</c:v>
                </c:pt>
                <c:pt idx="175">
                  <c:v>4.0240733676479333E-3</c:v>
                </c:pt>
                <c:pt idx="176">
                  <c:v>3.7554374721203909E-3</c:v>
                </c:pt>
                <c:pt idx="177">
                  <c:v>3.5048277017869101E-3</c:v>
                </c:pt>
                <c:pt idx="178">
                  <c:v>3.269509960105037E-3</c:v>
                </c:pt>
                <c:pt idx="179">
                  <c:v>3.0518238104917934E-3</c:v>
                </c:pt>
                <c:pt idx="180">
                  <c:v>2.8476192045140385E-3</c:v>
                </c:pt>
                <c:pt idx="181">
                  <c:v>2.6575265108627079E-3</c:v>
                </c:pt>
                <c:pt idx="182">
                  <c:v>2.4806016006443964E-3</c:v>
                </c:pt>
                <c:pt idx="183">
                  <c:v>2.3149259770517739E-3</c:v>
                </c:pt>
                <c:pt idx="184">
                  <c:v>2.1608679123781252E-3</c:v>
                </c:pt>
                <c:pt idx="185">
                  <c:v>2.0167596091355054E-3</c:v>
                </c:pt>
                <c:pt idx="186">
                  <c:v>1.8820646004484563E-3</c:v>
                </c:pt>
                <c:pt idx="187">
                  <c:v>1.7562560401624191E-3</c:v>
                </c:pt>
                <c:pt idx="188">
                  <c:v>1.6388201576766441E-3</c:v>
                </c:pt>
                <c:pt idx="189">
                  <c:v>1.5298500994033399E-3</c:v>
                </c:pt>
                <c:pt idx="190">
                  <c:v>1.427631392956732E-3</c:v>
                </c:pt>
                <c:pt idx="191">
                  <c:v>1.3323510718641909E-3</c:v>
                </c:pt>
                <c:pt idx="192">
                  <c:v>1.2431198364974895E-3</c:v>
                </c:pt>
                <c:pt idx="193">
                  <c:v>1.1604540754777059E-3</c:v>
                </c:pt>
                <c:pt idx="194">
                  <c:v>1.0827177339111668E-3</c:v>
                </c:pt>
                <c:pt idx="195">
                  <c:v>1.0104108052491057E-3</c:v>
                </c:pt>
                <c:pt idx="196">
                  <c:v>9.4315956478467438E-4</c:v>
                </c:pt>
                <c:pt idx="197">
                  <c:v>8.8004702330453431E-4</c:v>
                </c:pt>
                <c:pt idx="198">
                  <c:v>8.2140917413574429E-4</c:v>
                </c:pt>
                <c:pt idx="199">
                  <c:v>7.6668907981295613E-4</c:v>
                </c:pt>
                <c:pt idx="200">
                  <c:v>7.1543410860526913E-4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01184"/>
        <c:axId val="249499648"/>
      </c:scatterChart>
      <c:valAx>
        <c:axId val="249618432"/>
        <c:scaling>
          <c:logBase val="10"/>
          <c:orientation val="minMax"/>
          <c:max val="100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 [Hz]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620352"/>
        <c:crosses val="autoZero"/>
        <c:crossBetween val="midCat"/>
      </c:valAx>
      <c:valAx>
        <c:axId val="2496203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  [mm]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618432"/>
        <c:crosses val="autoZero"/>
        <c:crossBetween val="midCat"/>
        <c:majorUnit val="1"/>
      </c:valAx>
      <c:valAx>
        <c:axId val="249499648"/>
        <c:scaling>
          <c:orientation val="minMax"/>
          <c:max val="24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49501184"/>
        <c:crosses val="max"/>
        <c:crossBetween val="midCat"/>
        <c:majorUnit val="2"/>
      </c:valAx>
      <c:valAx>
        <c:axId val="249501184"/>
        <c:scaling>
          <c:logBase val="10"/>
          <c:orientation val="minMax"/>
        </c:scaling>
        <c:delete val="1"/>
        <c:axPos val="b"/>
        <c:minorGridlines/>
        <c:numFmt formatCode="0.0" sourceLinked="1"/>
        <c:majorTickMark val="out"/>
        <c:minorTickMark val="none"/>
        <c:tickLblPos val="nextTo"/>
        <c:crossAx val="249499648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Input Impedance Magnitude and Phase vs Frequency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Mag Zin</c:v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Model'!$P$167:$P$367</c:f>
              <c:numCache>
                <c:formatCode>0.0</c:formatCode>
                <c:ptCount val="201"/>
                <c:pt idx="0">
                  <c:v>8.802342290857478</c:v>
                </c:pt>
                <c:pt idx="1">
                  <c:v>8.9877845053569487</c:v>
                </c:pt>
                <c:pt idx="2">
                  <c:v>9.1934722551270198</c:v>
                </c:pt>
                <c:pt idx="3">
                  <c:v>9.4220501306044415</c:v>
                </c:pt>
                <c:pt idx="4">
                  <c:v>9.6564111499427074</c:v>
                </c:pt>
                <c:pt idx="5">
                  <c:v>9.9282999697873553</c:v>
                </c:pt>
                <c:pt idx="6">
                  <c:v>10.220678994390772</c:v>
                </c:pt>
                <c:pt idx="7">
                  <c:v>10.548191198262433</c:v>
                </c:pt>
                <c:pt idx="8">
                  <c:v>10.902617982947319</c:v>
                </c:pt>
                <c:pt idx="9">
                  <c:v>11.301779317708284</c:v>
                </c:pt>
                <c:pt idx="10">
                  <c:v>11.75313155719269</c:v>
                </c:pt>
                <c:pt idx="11">
                  <c:v>12.247892589206836</c:v>
                </c:pt>
                <c:pt idx="12">
                  <c:v>12.811385292240654</c:v>
                </c:pt>
                <c:pt idx="13">
                  <c:v>13.456469630527428</c:v>
                </c:pt>
                <c:pt idx="14">
                  <c:v>14.174581406975074</c:v>
                </c:pt>
                <c:pt idx="15">
                  <c:v>15.031400241497774</c:v>
                </c:pt>
                <c:pt idx="16">
                  <c:v>15.967172844491282</c:v>
                </c:pt>
                <c:pt idx="17">
                  <c:v>17.092244555485642</c:v>
                </c:pt>
                <c:pt idx="18">
                  <c:v>18.412417358249055</c:v>
                </c:pt>
                <c:pt idx="19">
                  <c:v>19.9194120789079</c:v>
                </c:pt>
                <c:pt idx="20">
                  <c:v>21.684067261853649</c:v>
                </c:pt>
                <c:pt idx="21">
                  <c:v>23.73043416553174</c:v>
                </c:pt>
                <c:pt idx="22">
                  <c:v>26.044088623705253</c:v>
                </c:pt>
                <c:pt idx="23">
                  <c:v>28.455541970092909</c:v>
                </c:pt>
                <c:pt idx="24">
                  <c:v>30.820275808374785</c:v>
                </c:pt>
                <c:pt idx="25">
                  <c:v>32.544710952015755</c:v>
                </c:pt>
                <c:pt idx="26">
                  <c:v>33.124377014005127</c:v>
                </c:pt>
                <c:pt idx="27">
                  <c:v>32.216254061860518</c:v>
                </c:pt>
                <c:pt idx="28">
                  <c:v>30.071817937329541</c:v>
                </c:pt>
                <c:pt idx="29">
                  <c:v>27.201675515275799</c:v>
                </c:pt>
                <c:pt idx="30">
                  <c:v>24.286149132517949</c:v>
                </c:pt>
                <c:pt idx="31">
                  <c:v>21.528095361879824</c:v>
                </c:pt>
                <c:pt idx="32">
                  <c:v>19.168207222197033</c:v>
                </c:pt>
                <c:pt idx="33">
                  <c:v>17.118729361841623</c:v>
                </c:pt>
                <c:pt idx="34">
                  <c:v>15.399067176764104</c:v>
                </c:pt>
                <c:pt idx="35">
                  <c:v>13.96092379689159</c:v>
                </c:pt>
                <c:pt idx="36">
                  <c:v>12.757742838261173</c:v>
                </c:pt>
                <c:pt idx="37">
                  <c:v>11.74955617599991</c:v>
                </c:pt>
                <c:pt idx="38">
                  <c:v>10.889539349782181</c:v>
                </c:pt>
                <c:pt idx="39">
                  <c:v>10.170850804681974</c:v>
                </c:pt>
                <c:pt idx="40">
                  <c:v>9.5716423645973645</c:v>
                </c:pt>
                <c:pt idx="41">
                  <c:v>9.0748367158061356</c:v>
                </c:pt>
                <c:pt idx="42">
                  <c:v>8.6609625389820071</c:v>
                </c:pt>
                <c:pt idx="43">
                  <c:v>8.3237085353835312</c:v>
                </c:pt>
                <c:pt idx="44">
                  <c:v>8.0653210370853241</c:v>
                </c:pt>
                <c:pt idx="45">
                  <c:v>7.8706811809427952</c:v>
                </c:pt>
                <c:pt idx="46">
                  <c:v>7.7378495495259161</c:v>
                </c:pt>
                <c:pt idx="47">
                  <c:v>7.6663971909919155</c:v>
                </c:pt>
                <c:pt idx="48">
                  <c:v>7.6538150451591269</c:v>
                </c:pt>
                <c:pt idx="49">
                  <c:v>7.6998652266194467</c:v>
                </c:pt>
                <c:pt idx="50">
                  <c:v>7.8057270515192805</c:v>
                </c:pt>
                <c:pt idx="51">
                  <c:v>7.974145874366716</c:v>
                </c:pt>
                <c:pt idx="52">
                  <c:v>8.2054894334673101</c:v>
                </c:pt>
                <c:pt idx="53">
                  <c:v>8.5067619685106184</c:v>
                </c:pt>
                <c:pt idx="54">
                  <c:v>8.8846657632993367</c:v>
                </c:pt>
                <c:pt idx="55">
                  <c:v>9.3478586967736028</c:v>
                </c:pt>
                <c:pt idx="56">
                  <c:v>9.9074426495303722</c:v>
                </c:pt>
                <c:pt idx="57">
                  <c:v>10.569087464264998</c:v>
                </c:pt>
                <c:pt idx="58">
                  <c:v>11.366378011532975</c:v>
                </c:pt>
                <c:pt idx="59">
                  <c:v>12.303220043231612</c:v>
                </c:pt>
                <c:pt idx="60">
                  <c:v>13.428966121614209</c:v>
                </c:pt>
                <c:pt idx="61">
                  <c:v>14.768347632902065</c:v>
                </c:pt>
                <c:pt idx="62">
                  <c:v>16.362058591738549</c:v>
                </c:pt>
                <c:pt idx="63">
                  <c:v>18.253957444055224</c:v>
                </c:pt>
                <c:pt idx="64">
                  <c:v>20.481650415862749</c:v>
                </c:pt>
                <c:pt idx="65">
                  <c:v>23.080052480216327</c:v>
                </c:pt>
                <c:pt idx="66">
                  <c:v>25.956055572835972</c:v>
                </c:pt>
                <c:pt idx="67">
                  <c:v>28.878039455307594</c:v>
                </c:pt>
                <c:pt idx="68">
                  <c:v>31.409814018137258</c:v>
                </c:pt>
                <c:pt idx="69">
                  <c:v>32.920769863464841</c:v>
                </c:pt>
                <c:pt idx="70">
                  <c:v>32.967291891373868</c:v>
                </c:pt>
                <c:pt idx="71">
                  <c:v>31.650333140756238</c:v>
                </c:pt>
                <c:pt idx="72">
                  <c:v>29.501610745675574</c:v>
                </c:pt>
                <c:pt idx="73">
                  <c:v>27.057075692548189</c:v>
                </c:pt>
                <c:pt idx="74">
                  <c:v>24.673733844550767</c:v>
                </c:pt>
                <c:pt idx="75">
                  <c:v>22.517017669678353</c:v>
                </c:pt>
                <c:pt idx="76">
                  <c:v>20.633695463840443</c:v>
                </c:pt>
                <c:pt idx="77">
                  <c:v>19.01423299971945</c:v>
                </c:pt>
                <c:pt idx="78">
                  <c:v>17.618983612714139</c:v>
                </c:pt>
                <c:pt idx="79">
                  <c:v>16.433228512183842</c:v>
                </c:pt>
                <c:pt idx="80">
                  <c:v>15.407130092605493</c:v>
                </c:pt>
                <c:pt idx="81">
                  <c:v>14.521444197860067</c:v>
                </c:pt>
                <c:pt idx="82">
                  <c:v>13.752536025270594</c:v>
                </c:pt>
                <c:pt idx="83">
                  <c:v>13.077024303445912</c:v>
                </c:pt>
                <c:pt idx="84">
                  <c:v>12.484374148989053</c:v>
                </c:pt>
                <c:pt idx="85">
                  <c:v>11.958488016425305</c:v>
                </c:pt>
                <c:pt idx="86">
                  <c:v>11.489902827475571</c:v>
                </c:pt>
                <c:pt idx="87">
                  <c:v>11.07072324629087</c:v>
                </c:pt>
                <c:pt idx="88">
                  <c:v>10.694340081649102</c:v>
                </c:pt>
                <c:pt idx="89">
                  <c:v>10.356998700436661</c:v>
                </c:pt>
                <c:pt idx="90">
                  <c:v>10.050202952987734</c:v>
                </c:pt>
                <c:pt idx="91">
                  <c:v>9.772010071257748</c:v>
                </c:pt>
                <c:pt idx="92">
                  <c:v>9.5177630531904764</c:v>
                </c:pt>
                <c:pt idx="93">
                  <c:v>9.2872175504229251</c:v>
                </c:pt>
                <c:pt idx="94">
                  <c:v>9.0744370967995351</c:v>
                </c:pt>
                <c:pt idx="95">
                  <c:v>8.8797023358351321</c:v>
                </c:pt>
                <c:pt idx="96">
                  <c:v>8.7010704118883506</c:v>
                </c:pt>
                <c:pt idx="97">
                  <c:v>8.5353759701315823</c:v>
                </c:pt>
                <c:pt idx="98">
                  <c:v>8.3829082827282519</c:v>
                </c:pt>
                <c:pt idx="99">
                  <c:v>8.2417263041780178</c:v>
                </c:pt>
                <c:pt idx="100">
                  <c:v>8.110277661802014</c:v>
                </c:pt>
                <c:pt idx="101">
                  <c:v>7.98981090257743</c:v>
                </c:pt>
                <c:pt idx="102">
                  <c:v>7.8754647889109277</c:v>
                </c:pt>
                <c:pt idx="103">
                  <c:v>7.7671502704119408</c:v>
                </c:pt>
                <c:pt idx="104">
                  <c:v>7.6722686311928445</c:v>
                </c:pt>
                <c:pt idx="105">
                  <c:v>7.5783271200845261</c:v>
                </c:pt>
                <c:pt idx="106">
                  <c:v>7.4925028600961614</c:v>
                </c:pt>
                <c:pt idx="107">
                  <c:v>7.4109554460031148</c:v>
                </c:pt>
                <c:pt idx="108">
                  <c:v>7.3362381561452201</c:v>
                </c:pt>
                <c:pt idx="109">
                  <c:v>7.2651443279780521</c:v>
                </c:pt>
                <c:pt idx="110">
                  <c:v>7.1975967047724012</c:v>
                </c:pt>
                <c:pt idx="111">
                  <c:v>7.1355491534628612</c:v>
                </c:pt>
                <c:pt idx="112">
                  <c:v>7.0765099304498653</c:v>
                </c:pt>
                <c:pt idx="113">
                  <c:v>7.020401154301064</c:v>
                </c:pt>
                <c:pt idx="114">
                  <c:v>6.9687322478464608</c:v>
                </c:pt>
                <c:pt idx="115">
                  <c:v>6.9180812148548823</c:v>
                </c:pt>
                <c:pt idx="116">
                  <c:v>6.8727965632675971</c:v>
                </c:pt>
                <c:pt idx="117">
                  <c:v>6.8283778621778524</c:v>
                </c:pt>
                <c:pt idx="118">
                  <c:v>6.7862146256773324</c:v>
                </c:pt>
                <c:pt idx="119">
                  <c:v>6.7472874700676773</c:v>
                </c:pt>
                <c:pt idx="120">
                  <c:v>6.7102755121672049</c:v>
                </c:pt>
                <c:pt idx="121">
                  <c:v>6.6751079391718111</c:v>
                </c:pt>
                <c:pt idx="122">
                  <c:v>6.6417121659002856</c:v>
                </c:pt>
                <c:pt idx="123">
                  <c:v>6.6107971064921323</c:v>
                </c:pt>
                <c:pt idx="124">
                  <c:v>6.5806658992762159</c:v>
                </c:pt>
                <c:pt idx="125">
                  <c:v>6.5527620590740909</c:v>
                </c:pt>
                <c:pt idx="126">
                  <c:v>6.5256213169004935</c:v>
                </c:pt>
                <c:pt idx="127">
                  <c:v>6.5004737460197353</c:v>
                </c:pt>
                <c:pt idx="128">
                  <c:v>6.476589775613478</c:v>
                </c:pt>
                <c:pt idx="129">
                  <c:v>6.4534157368571483</c:v>
                </c:pt>
                <c:pt idx="130">
                  <c:v>6.4319229681785623</c:v>
                </c:pt>
                <c:pt idx="131">
                  <c:v>6.4110952748438796</c:v>
                </c:pt>
                <c:pt idx="132">
                  <c:v>6.3917639730903986</c:v>
                </c:pt>
                <c:pt idx="133">
                  <c:v>6.3730500114556783</c:v>
                </c:pt>
                <c:pt idx="134">
                  <c:v>6.3553244925957388</c:v>
                </c:pt>
                <c:pt idx="135">
                  <c:v>6.3385340773958898</c:v>
                </c:pt>
                <c:pt idx="136">
                  <c:v>6.3226279757674746</c:v>
                </c:pt>
                <c:pt idx="137">
                  <c:v>6.3075578958112217</c:v>
                </c:pt>
                <c:pt idx="138">
                  <c:v>6.2930231116479902</c:v>
                </c:pt>
                <c:pt idx="139">
                  <c:v>6.2792706120504747</c:v>
                </c:pt>
                <c:pt idx="140">
                  <c:v>6.2662550967972974</c:v>
                </c:pt>
                <c:pt idx="141">
                  <c:v>6.253933906064483</c:v>
                </c:pt>
                <c:pt idx="142">
                  <c:v>6.242076196647</c:v>
                </c:pt>
                <c:pt idx="143">
                  <c:v>6.2306839015624584</c:v>
                </c:pt>
                <c:pt idx="144">
                  <c:v>6.2200851589736654</c:v>
                </c:pt>
                <c:pt idx="145">
                  <c:v>6.209899889097505</c:v>
                </c:pt>
                <c:pt idx="146">
                  <c:v>6.2001260138784247</c:v>
                </c:pt>
                <c:pt idx="147">
                  <c:v>6.1908920492785819</c:v>
                </c:pt>
                <c:pt idx="148">
                  <c:v>6.1820402076430749</c:v>
                </c:pt>
                <c:pt idx="149">
                  <c:v>6.1736795834556428</c:v>
                </c:pt>
                <c:pt idx="150">
                  <c:v>6.1656714338012648</c:v>
                </c:pt>
                <c:pt idx="151">
                  <c:v>6.1580085984325619</c:v>
                </c:pt>
                <c:pt idx="152">
                  <c:v>6.1507758701601336</c:v>
                </c:pt>
                <c:pt idx="153">
                  <c:v>6.1438582909096633</c:v>
                </c:pt>
                <c:pt idx="154">
                  <c:v>6.1372473863482444</c:v>
                </c:pt>
                <c:pt idx="155">
                  <c:v>6.1309340720606302</c:v>
                </c:pt>
                <c:pt idx="156">
                  <c:v>6.1249088052872471</c:v>
                </c:pt>
                <c:pt idx="157">
                  <c:v>6.1192269933062686</c:v>
                </c:pt>
                <c:pt idx="158">
                  <c:v>6.1137435347036826</c:v>
                </c:pt>
                <c:pt idx="159">
                  <c:v>6.1085749893718901</c:v>
                </c:pt>
                <c:pt idx="160">
                  <c:v>6.1035938869668698</c:v>
                </c:pt>
                <c:pt idx="161">
                  <c:v>6.098850880164318</c:v>
                </c:pt>
                <c:pt idx="162">
                  <c:v>6.0943358851815175</c:v>
                </c:pt>
                <c:pt idx="163">
                  <c:v>6.0900389825714036</c:v>
                </c:pt>
                <c:pt idx="164">
                  <c:v>6.0859504587826283</c:v>
                </c:pt>
                <c:pt idx="165">
                  <c:v>6.0820236634220048</c:v>
                </c:pt>
                <c:pt idx="166">
                  <c:v>6.0782915763557384</c:v>
                </c:pt>
                <c:pt idx="167">
                  <c:v>6.0747447377056405</c:v>
                </c:pt>
                <c:pt idx="168">
                  <c:v>6.0713439062479324</c:v>
                </c:pt>
                <c:pt idx="169">
                  <c:v>6.0680864198270612</c:v>
                </c:pt>
                <c:pt idx="170">
                  <c:v>6.0649953156775105</c:v>
                </c:pt>
                <c:pt idx="171">
                  <c:v>6.0620373401091898</c:v>
                </c:pt>
                <c:pt idx="172">
                  <c:v>6.059231780073806</c:v>
                </c:pt>
                <c:pt idx="173">
                  <c:v>6.0565490581459116</c:v>
                </c:pt>
                <c:pt idx="174">
                  <c:v>6.0539855443801418</c:v>
                </c:pt>
                <c:pt idx="175">
                  <c:v>6.0515374390406729</c:v>
                </c:pt>
                <c:pt idx="176">
                  <c:v>6.0492008223361982</c:v>
                </c:pt>
                <c:pt idx="177">
                  <c:v>6.0469716978681918</c:v>
                </c:pt>
                <c:pt idx="178">
                  <c:v>6.0448310500227347</c:v>
                </c:pt>
                <c:pt idx="179">
                  <c:v>6.0428058030557414</c:v>
                </c:pt>
                <c:pt idx="180">
                  <c:v>6.0408628484940747</c:v>
                </c:pt>
                <c:pt idx="181">
                  <c:v>6.0390129936106671</c:v>
                </c:pt>
                <c:pt idx="182">
                  <c:v>6.0372521466449456</c:v>
                </c:pt>
                <c:pt idx="183">
                  <c:v>6.0355657338731676</c:v>
                </c:pt>
                <c:pt idx="184">
                  <c:v>6.0339618574679825</c:v>
                </c:pt>
                <c:pt idx="185">
                  <c:v>6.0324273889644058</c:v>
                </c:pt>
                <c:pt idx="186">
                  <c:v>6.0309603890637478</c:v>
                </c:pt>
                <c:pt idx="187">
                  <c:v>6.0295588058865501</c:v>
                </c:pt>
                <c:pt idx="188">
                  <c:v>6.0282205046296795</c:v>
                </c:pt>
                <c:pt idx="189">
                  <c:v>6.0269502637209325</c:v>
                </c:pt>
                <c:pt idx="190">
                  <c:v>6.0257314491272469</c:v>
                </c:pt>
                <c:pt idx="191">
                  <c:v>6.0245692905860411</c:v>
                </c:pt>
                <c:pt idx="192">
                  <c:v>6.0234558878445155</c:v>
                </c:pt>
                <c:pt idx="193">
                  <c:v>6.0224007157088337</c:v>
                </c:pt>
                <c:pt idx="194">
                  <c:v>6.0213856598718953</c:v>
                </c:pt>
                <c:pt idx="195">
                  <c:v>6.0204197366099184</c:v>
                </c:pt>
                <c:pt idx="196">
                  <c:v>6.0195007003607728</c:v>
                </c:pt>
                <c:pt idx="197">
                  <c:v>6.0186183676567548</c:v>
                </c:pt>
                <c:pt idx="198">
                  <c:v>6.0177796984239924</c:v>
                </c:pt>
                <c:pt idx="199">
                  <c:v>6.0169790588408096</c:v>
                </c:pt>
                <c:pt idx="200">
                  <c:v>6.0162118296724918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41760"/>
        <c:axId val="249543680"/>
      </c:scatterChart>
      <c:scatterChart>
        <c:scatterStyle val="lineMarker"/>
        <c:varyColors val="0"/>
        <c:ser>
          <c:idx val="1"/>
          <c:order val="1"/>
          <c:tx>
            <c:strRef>
              <c:f>'Ported T-S Model'!$Q$166</c:f>
              <c:strCache>
                <c:ptCount val="1"/>
                <c:pt idx="0">
                  <c:v>Ph Zin</c:v>
                </c:pt>
              </c:strCache>
            </c:strRef>
          </c:tx>
          <c:marker>
            <c:symbol val="none"/>
          </c:marker>
          <c:xVal>
            <c:numRef>
              <c:f>'Ported T-S Model'!$C$167:$C$367</c:f>
              <c:numCache>
                <c:formatCode>0.0</c:formatCode>
                <c:ptCount val="201"/>
                <c:pt idx="0">
                  <c:v>10</c:v>
                </c:pt>
                <c:pt idx="1">
                  <c:v>10.23</c:v>
                </c:pt>
                <c:pt idx="2">
                  <c:v>10.47</c:v>
                </c:pt>
                <c:pt idx="3">
                  <c:v>10.72</c:v>
                </c:pt>
                <c:pt idx="4">
                  <c:v>10.96</c:v>
                </c:pt>
                <c:pt idx="5">
                  <c:v>11.22</c:v>
                </c:pt>
                <c:pt idx="6">
                  <c:v>11.48</c:v>
                </c:pt>
                <c:pt idx="7">
                  <c:v>11.75</c:v>
                </c:pt>
                <c:pt idx="8">
                  <c:v>12.02</c:v>
                </c:pt>
                <c:pt idx="9">
                  <c:v>12.3</c:v>
                </c:pt>
                <c:pt idx="10">
                  <c:v>12.59</c:v>
                </c:pt>
                <c:pt idx="11">
                  <c:v>12.88</c:v>
                </c:pt>
                <c:pt idx="12">
                  <c:v>13.18</c:v>
                </c:pt>
                <c:pt idx="13">
                  <c:v>13.49</c:v>
                </c:pt>
                <c:pt idx="14">
                  <c:v>13.8</c:v>
                </c:pt>
                <c:pt idx="15">
                  <c:v>14.13</c:v>
                </c:pt>
                <c:pt idx="16">
                  <c:v>14.45</c:v>
                </c:pt>
                <c:pt idx="17">
                  <c:v>14.79</c:v>
                </c:pt>
                <c:pt idx="18">
                  <c:v>15.14</c:v>
                </c:pt>
                <c:pt idx="19">
                  <c:v>15.49</c:v>
                </c:pt>
                <c:pt idx="20">
                  <c:v>15.85</c:v>
                </c:pt>
                <c:pt idx="21">
                  <c:v>16.22</c:v>
                </c:pt>
                <c:pt idx="22">
                  <c:v>16.600000000000001</c:v>
                </c:pt>
                <c:pt idx="23">
                  <c:v>16.98</c:v>
                </c:pt>
                <c:pt idx="24">
                  <c:v>17.38</c:v>
                </c:pt>
                <c:pt idx="25">
                  <c:v>17.78</c:v>
                </c:pt>
                <c:pt idx="26">
                  <c:v>18.2</c:v>
                </c:pt>
                <c:pt idx="27">
                  <c:v>18.62</c:v>
                </c:pt>
                <c:pt idx="28">
                  <c:v>19.05</c:v>
                </c:pt>
                <c:pt idx="29">
                  <c:v>19.5</c:v>
                </c:pt>
                <c:pt idx="30">
                  <c:v>19.95</c:v>
                </c:pt>
                <c:pt idx="31">
                  <c:v>20.420000000000002</c:v>
                </c:pt>
                <c:pt idx="32">
                  <c:v>20.89</c:v>
                </c:pt>
                <c:pt idx="33">
                  <c:v>21.38</c:v>
                </c:pt>
                <c:pt idx="34">
                  <c:v>21.88</c:v>
                </c:pt>
                <c:pt idx="35">
                  <c:v>22.39</c:v>
                </c:pt>
                <c:pt idx="36">
                  <c:v>22.91</c:v>
                </c:pt>
                <c:pt idx="37">
                  <c:v>23.44</c:v>
                </c:pt>
                <c:pt idx="38">
                  <c:v>23.99</c:v>
                </c:pt>
                <c:pt idx="39">
                  <c:v>24.55</c:v>
                </c:pt>
                <c:pt idx="40">
                  <c:v>25.12</c:v>
                </c:pt>
                <c:pt idx="41">
                  <c:v>25.7</c:v>
                </c:pt>
                <c:pt idx="42">
                  <c:v>26.3</c:v>
                </c:pt>
                <c:pt idx="43">
                  <c:v>26.92</c:v>
                </c:pt>
                <c:pt idx="44">
                  <c:v>27.54</c:v>
                </c:pt>
                <c:pt idx="45">
                  <c:v>28.18</c:v>
                </c:pt>
                <c:pt idx="46">
                  <c:v>28.84</c:v>
                </c:pt>
                <c:pt idx="47">
                  <c:v>29.51</c:v>
                </c:pt>
                <c:pt idx="48">
                  <c:v>30.2</c:v>
                </c:pt>
                <c:pt idx="49">
                  <c:v>30.9</c:v>
                </c:pt>
                <c:pt idx="50">
                  <c:v>31.62</c:v>
                </c:pt>
                <c:pt idx="51">
                  <c:v>32.36</c:v>
                </c:pt>
                <c:pt idx="52">
                  <c:v>33.11</c:v>
                </c:pt>
                <c:pt idx="53">
                  <c:v>33.880000000000003</c:v>
                </c:pt>
                <c:pt idx="54">
                  <c:v>34.67</c:v>
                </c:pt>
                <c:pt idx="55">
                  <c:v>35.479999999999997</c:v>
                </c:pt>
                <c:pt idx="56">
                  <c:v>36.31</c:v>
                </c:pt>
                <c:pt idx="57">
                  <c:v>37.15</c:v>
                </c:pt>
                <c:pt idx="58">
                  <c:v>38.020000000000003</c:v>
                </c:pt>
                <c:pt idx="59">
                  <c:v>38.9</c:v>
                </c:pt>
                <c:pt idx="60">
                  <c:v>39.81</c:v>
                </c:pt>
                <c:pt idx="61">
                  <c:v>40.74</c:v>
                </c:pt>
                <c:pt idx="62">
                  <c:v>41.69</c:v>
                </c:pt>
                <c:pt idx="63">
                  <c:v>42.66</c:v>
                </c:pt>
                <c:pt idx="64">
                  <c:v>43.65</c:v>
                </c:pt>
                <c:pt idx="65">
                  <c:v>44.67</c:v>
                </c:pt>
                <c:pt idx="66">
                  <c:v>45.71</c:v>
                </c:pt>
                <c:pt idx="67">
                  <c:v>46.77</c:v>
                </c:pt>
                <c:pt idx="68">
                  <c:v>47.86</c:v>
                </c:pt>
                <c:pt idx="69">
                  <c:v>48.98</c:v>
                </c:pt>
                <c:pt idx="70">
                  <c:v>50.12</c:v>
                </c:pt>
                <c:pt idx="71">
                  <c:v>51.29</c:v>
                </c:pt>
                <c:pt idx="72">
                  <c:v>52.48</c:v>
                </c:pt>
                <c:pt idx="73">
                  <c:v>53.7</c:v>
                </c:pt>
                <c:pt idx="74">
                  <c:v>54.95</c:v>
                </c:pt>
                <c:pt idx="75">
                  <c:v>56.23</c:v>
                </c:pt>
                <c:pt idx="76">
                  <c:v>57.54</c:v>
                </c:pt>
                <c:pt idx="77">
                  <c:v>58.88</c:v>
                </c:pt>
                <c:pt idx="78">
                  <c:v>60.26</c:v>
                </c:pt>
                <c:pt idx="79">
                  <c:v>61.66</c:v>
                </c:pt>
                <c:pt idx="80">
                  <c:v>63.1</c:v>
                </c:pt>
                <c:pt idx="81">
                  <c:v>64.569999999999993</c:v>
                </c:pt>
                <c:pt idx="82">
                  <c:v>66.069999999999993</c:v>
                </c:pt>
                <c:pt idx="83">
                  <c:v>67.61</c:v>
                </c:pt>
                <c:pt idx="84">
                  <c:v>69.180000000000007</c:v>
                </c:pt>
                <c:pt idx="85">
                  <c:v>70.790000000000006</c:v>
                </c:pt>
                <c:pt idx="86">
                  <c:v>72.44</c:v>
                </c:pt>
                <c:pt idx="87">
                  <c:v>74.13</c:v>
                </c:pt>
                <c:pt idx="88">
                  <c:v>75.86</c:v>
                </c:pt>
                <c:pt idx="89">
                  <c:v>77.62</c:v>
                </c:pt>
                <c:pt idx="90">
                  <c:v>79.430000000000007</c:v>
                </c:pt>
                <c:pt idx="91">
                  <c:v>81.28</c:v>
                </c:pt>
                <c:pt idx="92">
                  <c:v>83.18</c:v>
                </c:pt>
                <c:pt idx="93">
                  <c:v>85.11</c:v>
                </c:pt>
                <c:pt idx="94">
                  <c:v>87.1</c:v>
                </c:pt>
                <c:pt idx="95">
                  <c:v>89.13</c:v>
                </c:pt>
                <c:pt idx="96">
                  <c:v>91.2</c:v>
                </c:pt>
                <c:pt idx="97">
                  <c:v>93.33</c:v>
                </c:pt>
                <c:pt idx="98">
                  <c:v>95.5</c:v>
                </c:pt>
                <c:pt idx="99">
                  <c:v>97.72</c:v>
                </c:pt>
                <c:pt idx="100">
                  <c:v>100</c:v>
                </c:pt>
                <c:pt idx="101">
                  <c:v>102.3</c:v>
                </c:pt>
                <c:pt idx="102">
                  <c:v>104.7</c:v>
                </c:pt>
                <c:pt idx="103">
                  <c:v>107.2</c:v>
                </c:pt>
                <c:pt idx="104">
                  <c:v>109.6</c:v>
                </c:pt>
                <c:pt idx="105">
                  <c:v>112.2</c:v>
                </c:pt>
                <c:pt idx="106">
                  <c:v>114.8</c:v>
                </c:pt>
                <c:pt idx="107">
                  <c:v>117.5</c:v>
                </c:pt>
                <c:pt idx="108">
                  <c:v>120.2</c:v>
                </c:pt>
                <c:pt idx="109">
                  <c:v>123</c:v>
                </c:pt>
                <c:pt idx="110">
                  <c:v>125.9</c:v>
                </c:pt>
                <c:pt idx="111">
                  <c:v>128.80000000000001</c:v>
                </c:pt>
                <c:pt idx="112">
                  <c:v>131.80000000000001</c:v>
                </c:pt>
                <c:pt idx="113">
                  <c:v>134.9</c:v>
                </c:pt>
                <c:pt idx="114">
                  <c:v>138</c:v>
                </c:pt>
                <c:pt idx="115">
                  <c:v>141.30000000000001</c:v>
                </c:pt>
                <c:pt idx="116">
                  <c:v>144.5</c:v>
                </c:pt>
                <c:pt idx="117">
                  <c:v>147.9</c:v>
                </c:pt>
                <c:pt idx="118">
                  <c:v>151.4</c:v>
                </c:pt>
                <c:pt idx="119">
                  <c:v>154.9</c:v>
                </c:pt>
                <c:pt idx="120">
                  <c:v>158.5</c:v>
                </c:pt>
                <c:pt idx="121">
                  <c:v>162.19999999999999</c:v>
                </c:pt>
                <c:pt idx="122">
                  <c:v>166</c:v>
                </c:pt>
                <c:pt idx="123">
                  <c:v>169.8</c:v>
                </c:pt>
                <c:pt idx="124">
                  <c:v>173.8</c:v>
                </c:pt>
                <c:pt idx="125">
                  <c:v>177.8</c:v>
                </c:pt>
                <c:pt idx="126">
                  <c:v>182</c:v>
                </c:pt>
                <c:pt idx="127">
                  <c:v>186.2</c:v>
                </c:pt>
                <c:pt idx="128">
                  <c:v>190.5</c:v>
                </c:pt>
                <c:pt idx="129">
                  <c:v>195</c:v>
                </c:pt>
                <c:pt idx="130">
                  <c:v>199.5</c:v>
                </c:pt>
                <c:pt idx="131">
                  <c:v>204.2</c:v>
                </c:pt>
                <c:pt idx="132">
                  <c:v>208.9</c:v>
                </c:pt>
                <c:pt idx="133">
                  <c:v>213.8</c:v>
                </c:pt>
                <c:pt idx="134">
                  <c:v>218.8</c:v>
                </c:pt>
                <c:pt idx="135">
                  <c:v>223.9</c:v>
                </c:pt>
                <c:pt idx="136">
                  <c:v>229.1</c:v>
                </c:pt>
                <c:pt idx="137">
                  <c:v>234.4</c:v>
                </c:pt>
                <c:pt idx="138">
                  <c:v>239.9</c:v>
                </c:pt>
                <c:pt idx="139">
                  <c:v>245.5</c:v>
                </c:pt>
                <c:pt idx="140">
                  <c:v>251.2</c:v>
                </c:pt>
                <c:pt idx="141">
                  <c:v>257</c:v>
                </c:pt>
                <c:pt idx="142">
                  <c:v>263</c:v>
                </c:pt>
                <c:pt idx="143">
                  <c:v>269.2</c:v>
                </c:pt>
                <c:pt idx="144">
                  <c:v>275.39999999999998</c:v>
                </c:pt>
                <c:pt idx="145">
                  <c:v>281.8</c:v>
                </c:pt>
                <c:pt idx="146">
                  <c:v>288.39999999999998</c:v>
                </c:pt>
                <c:pt idx="147">
                  <c:v>295.10000000000002</c:v>
                </c:pt>
                <c:pt idx="148">
                  <c:v>302</c:v>
                </c:pt>
                <c:pt idx="149">
                  <c:v>309</c:v>
                </c:pt>
                <c:pt idx="150">
                  <c:v>316.2</c:v>
                </c:pt>
                <c:pt idx="151">
                  <c:v>323.60000000000002</c:v>
                </c:pt>
                <c:pt idx="152">
                  <c:v>331.1</c:v>
                </c:pt>
                <c:pt idx="153">
                  <c:v>338.8</c:v>
                </c:pt>
                <c:pt idx="154">
                  <c:v>346.7</c:v>
                </c:pt>
                <c:pt idx="155">
                  <c:v>354.8</c:v>
                </c:pt>
                <c:pt idx="156">
                  <c:v>363.1</c:v>
                </c:pt>
                <c:pt idx="157">
                  <c:v>371.5</c:v>
                </c:pt>
                <c:pt idx="158">
                  <c:v>380.2</c:v>
                </c:pt>
                <c:pt idx="159">
                  <c:v>389</c:v>
                </c:pt>
                <c:pt idx="160">
                  <c:v>398.1</c:v>
                </c:pt>
                <c:pt idx="161">
                  <c:v>407.4</c:v>
                </c:pt>
                <c:pt idx="162">
                  <c:v>416.9</c:v>
                </c:pt>
                <c:pt idx="163">
                  <c:v>426.6</c:v>
                </c:pt>
                <c:pt idx="164">
                  <c:v>436.5</c:v>
                </c:pt>
                <c:pt idx="165">
                  <c:v>446.7</c:v>
                </c:pt>
                <c:pt idx="166">
                  <c:v>457.1</c:v>
                </c:pt>
                <c:pt idx="167">
                  <c:v>467.7</c:v>
                </c:pt>
                <c:pt idx="168">
                  <c:v>478.6</c:v>
                </c:pt>
                <c:pt idx="169">
                  <c:v>489.8</c:v>
                </c:pt>
                <c:pt idx="170">
                  <c:v>501.2</c:v>
                </c:pt>
                <c:pt idx="171">
                  <c:v>512.9</c:v>
                </c:pt>
                <c:pt idx="172">
                  <c:v>524.79999999999995</c:v>
                </c:pt>
                <c:pt idx="173">
                  <c:v>537</c:v>
                </c:pt>
                <c:pt idx="174">
                  <c:v>549.5</c:v>
                </c:pt>
                <c:pt idx="175">
                  <c:v>562.29999999999995</c:v>
                </c:pt>
                <c:pt idx="176">
                  <c:v>575.4</c:v>
                </c:pt>
                <c:pt idx="177">
                  <c:v>588.79999999999995</c:v>
                </c:pt>
                <c:pt idx="178">
                  <c:v>602.6</c:v>
                </c:pt>
                <c:pt idx="179">
                  <c:v>616.6</c:v>
                </c:pt>
                <c:pt idx="180">
                  <c:v>631</c:v>
                </c:pt>
                <c:pt idx="181">
                  <c:v>645.70000000000005</c:v>
                </c:pt>
                <c:pt idx="182">
                  <c:v>660.7</c:v>
                </c:pt>
                <c:pt idx="183">
                  <c:v>676.1</c:v>
                </c:pt>
                <c:pt idx="184">
                  <c:v>691.8</c:v>
                </c:pt>
                <c:pt idx="185">
                  <c:v>707.9</c:v>
                </c:pt>
                <c:pt idx="186">
                  <c:v>724.4</c:v>
                </c:pt>
                <c:pt idx="187">
                  <c:v>741.3</c:v>
                </c:pt>
                <c:pt idx="188">
                  <c:v>758.6</c:v>
                </c:pt>
                <c:pt idx="189">
                  <c:v>776.2</c:v>
                </c:pt>
                <c:pt idx="190">
                  <c:v>794.3</c:v>
                </c:pt>
                <c:pt idx="191">
                  <c:v>812.8</c:v>
                </c:pt>
                <c:pt idx="192">
                  <c:v>831.8</c:v>
                </c:pt>
                <c:pt idx="193">
                  <c:v>851.1</c:v>
                </c:pt>
                <c:pt idx="194">
                  <c:v>871</c:v>
                </c:pt>
                <c:pt idx="195">
                  <c:v>891.3</c:v>
                </c:pt>
                <c:pt idx="196">
                  <c:v>912</c:v>
                </c:pt>
                <c:pt idx="197">
                  <c:v>933.3</c:v>
                </c:pt>
                <c:pt idx="198">
                  <c:v>955</c:v>
                </c:pt>
                <c:pt idx="199">
                  <c:v>977.2</c:v>
                </c:pt>
                <c:pt idx="200">
                  <c:v>1000</c:v>
                </c:pt>
              </c:numCache>
            </c:numRef>
          </c:xVal>
          <c:yVal>
            <c:numRef>
              <c:f>'Ported T-S Model'!$Q$167:$Q$367</c:f>
              <c:numCache>
                <c:formatCode>0.0</c:formatCode>
                <c:ptCount val="201"/>
                <c:pt idx="0">
                  <c:v>38.785382716445575</c:v>
                </c:pt>
                <c:pt idx="1">
                  <c:v>39.528334852672124</c:v>
                </c:pt>
                <c:pt idx="2">
                  <c:v>40.284991900076001</c:v>
                </c:pt>
                <c:pt idx="3">
                  <c:v>41.050950924102665</c:v>
                </c:pt>
                <c:pt idx="4">
                  <c:v>41.762716864868167</c:v>
                </c:pt>
                <c:pt idx="5">
                  <c:v>42.504909560593269</c:v>
                </c:pt>
                <c:pt idx="6">
                  <c:v>43.213646300156263</c:v>
                </c:pt>
                <c:pt idx="7">
                  <c:v>43.909935899661868</c:v>
                </c:pt>
                <c:pt idx="8">
                  <c:v>44.560663198049816</c:v>
                </c:pt>
                <c:pt idx="9">
                  <c:v>45.180953062847692</c:v>
                </c:pt>
                <c:pt idx="10">
                  <c:v>45.756605950116118</c:v>
                </c:pt>
                <c:pt idx="11">
                  <c:v>46.254167903153281</c:v>
                </c:pt>
                <c:pt idx="12">
                  <c:v>46.673736969652012</c:v>
                </c:pt>
                <c:pt idx="13">
                  <c:v>46.988609922643519</c:v>
                </c:pt>
                <c:pt idx="14">
                  <c:v>47.161426657151658</c:v>
                </c:pt>
                <c:pt idx="15">
                  <c:v>47.159491022893747</c:v>
                </c:pt>
                <c:pt idx="16">
                  <c:v>46.937882001068104</c:v>
                </c:pt>
                <c:pt idx="17">
                  <c:v>46.41453670892195</c:v>
                </c:pt>
                <c:pt idx="18">
                  <c:v>45.495825922177374</c:v>
                </c:pt>
                <c:pt idx="19">
                  <c:v>44.099500832331486</c:v>
                </c:pt>
                <c:pt idx="20">
                  <c:v>42.04254426686316</c:v>
                </c:pt>
                <c:pt idx="21">
                  <c:v>39.11190647829428</c:v>
                </c:pt>
                <c:pt idx="22">
                  <c:v>35.041690765580377</c:v>
                </c:pt>
                <c:pt idx="23">
                  <c:v>29.697351761702084</c:v>
                </c:pt>
                <c:pt idx="24">
                  <c:v>22.568126598988602</c:v>
                </c:pt>
                <c:pt idx="25">
                  <c:v>14.023474414958434</c:v>
                </c:pt>
                <c:pt idx="26">
                  <c:v>4.1298930093424397</c:v>
                </c:pt>
                <c:pt idx="27">
                  <c:v>-5.6782575099734567</c:v>
                </c:pt>
                <c:pt idx="28">
                  <c:v>-14.574665881627174</c:v>
                </c:pt>
                <c:pt idx="29">
                  <c:v>-22.010792902206276</c:v>
                </c:pt>
                <c:pt idx="30">
                  <c:v>-27.468505981145846</c:v>
                </c:pt>
                <c:pt idx="31">
                  <c:v>-31.347078312627904</c:v>
                </c:pt>
                <c:pt idx="32">
                  <c:v>-33.752446998785629</c:v>
                </c:pt>
                <c:pt idx="33">
                  <c:v>-35.066138637979762</c:v>
                </c:pt>
                <c:pt idx="34">
                  <c:v>-35.459855052725509</c:v>
                </c:pt>
                <c:pt idx="35">
                  <c:v>-35.11782864664012</c:v>
                </c:pt>
                <c:pt idx="36">
                  <c:v>-34.17953587441977</c:v>
                </c:pt>
                <c:pt idx="37">
                  <c:v>-32.750498690864703</c:v>
                </c:pt>
                <c:pt idx="38">
                  <c:v>-30.874522396454399</c:v>
                </c:pt>
                <c:pt idx="39">
                  <c:v>-28.642184867442094</c:v>
                </c:pt>
                <c:pt idx="40">
                  <c:v>-26.108319851791954</c:v>
                </c:pt>
                <c:pt idx="41">
                  <c:v>-23.31913185430863</c:v>
                </c:pt>
                <c:pt idx="42">
                  <c:v>-20.263216529282783</c:v>
                </c:pt>
                <c:pt idx="43">
                  <c:v>-16.972552810138627</c:v>
                </c:pt>
                <c:pt idx="44">
                  <c:v>-13.59119695917844</c:v>
                </c:pt>
                <c:pt idx="45">
                  <c:v>-10.047615742905972</c:v>
                </c:pt>
                <c:pt idx="46">
                  <c:v>-6.3774357729464226</c:v>
                </c:pt>
                <c:pt idx="47">
                  <c:v>-2.6739123498037358</c:v>
                </c:pt>
                <c:pt idx="48">
                  <c:v>1.079621576547622</c:v>
                </c:pt>
                <c:pt idx="49">
                  <c:v>4.7904671724838961</c:v>
                </c:pt>
                <c:pt idx="50">
                  <c:v>8.4735971601764142</c:v>
                </c:pt>
                <c:pt idx="51">
                  <c:v>12.088838576318329</c:v>
                </c:pt>
                <c:pt idx="52">
                  <c:v>15.551669155998271</c:v>
                </c:pt>
                <c:pt idx="53">
                  <c:v>18.874033786794705</c:v>
                </c:pt>
                <c:pt idx="54">
                  <c:v>22.018201326489507</c:v>
                </c:pt>
                <c:pt idx="55">
                  <c:v>24.946263953679185</c:v>
                </c:pt>
                <c:pt idx="56">
                  <c:v>27.619027386023962</c:v>
                </c:pt>
                <c:pt idx="57">
                  <c:v>29.968536182265051</c:v>
                </c:pt>
                <c:pt idx="58">
                  <c:v>32.003357906799948</c:v>
                </c:pt>
                <c:pt idx="59">
                  <c:v>33.621121480348052</c:v>
                </c:pt>
                <c:pt idx="60">
                  <c:v>34.78927565350557</c:v>
                </c:pt>
                <c:pt idx="61">
                  <c:v>35.39784251986125</c:v>
                </c:pt>
                <c:pt idx="62">
                  <c:v>35.330994475277571</c:v>
                </c:pt>
                <c:pt idx="63">
                  <c:v>34.437197058793657</c:v>
                </c:pt>
                <c:pt idx="64">
                  <c:v>32.52114900982221</c:v>
                </c:pt>
                <c:pt idx="65">
                  <c:v>29.305035491751401</c:v>
                </c:pt>
                <c:pt idx="66">
                  <c:v>24.537030451039122</c:v>
                </c:pt>
                <c:pt idx="67">
                  <c:v>18.015235718237449</c:v>
                </c:pt>
                <c:pt idx="68">
                  <c:v>9.6924489374310632</c:v>
                </c:pt>
                <c:pt idx="69">
                  <c:v>2.8597501478763568E-2</c:v>
                </c:pt>
                <c:pt idx="70">
                  <c:v>-9.9187271756022568</c:v>
                </c:pt>
                <c:pt idx="71">
                  <c:v>-19.146011076519741</c:v>
                </c:pt>
                <c:pt idx="72">
                  <c:v>-26.867330450433005</c:v>
                </c:pt>
                <c:pt idx="73">
                  <c:v>-32.959773863286337</c:v>
                </c:pt>
                <c:pt idx="74">
                  <c:v>-37.556593156509386</c:v>
                </c:pt>
                <c:pt idx="75">
                  <c:v>-40.920676927577013</c:v>
                </c:pt>
                <c:pt idx="76">
                  <c:v>-43.319824799731265</c:v>
                </c:pt>
                <c:pt idx="77">
                  <c:v>-44.980119946943191</c:v>
                </c:pt>
                <c:pt idx="78">
                  <c:v>-46.08472895748212</c:v>
                </c:pt>
                <c:pt idx="79">
                  <c:v>-46.752682534398325</c:v>
                </c:pt>
                <c:pt idx="80">
                  <c:v>-47.096011648606705</c:v>
                </c:pt>
                <c:pt idx="81">
                  <c:v>-47.185949809140858</c:v>
                </c:pt>
                <c:pt idx="82">
                  <c:v>-47.080926772229809</c:v>
                </c:pt>
                <c:pt idx="83">
                  <c:v>-46.823315037224788</c:v>
                </c:pt>
                <c:pt idx="84">
                  <c:v>-46.448066376712276</c:v>
                </c:pt>
                <c:pt idx="85">
                  <c:v>-45.978982260408472</c:v>
                </c:pt>
                <c:pt idx="86">
                  <c:v>-45.436105278193153</c:v>
                </c:pt>
                <c:pt idx="87">
                  <c:v>-44.835577755818491</c:v>
                </c:pt>
                <c:pt idx="88">
                  <c:v>-44.190473617599842</c:v>
                </c:pt>
                <c:pt idx="89">
                  <c:v>-43.515305717879528</c:v>
                </c:pt>
                <c:pt idx="90">
                  <c:v>-42.811063741872289</c:v>
                </c:pt>
                <c:pt idx="91">
                  <c:v>-42.088687538148655</c:v>
                </c:pt>
                <c:pt idx="92">
                  <c:v>-41.350188430927375</c:v>
                </c:pt>
                <c:pt idx="93">
                  <c:v>-40.608205766445074</c:v>
                </c:pt>
                <c:pt idx="94">
                  <c:v>-39.855340462260266</c:v>
                </c:pt>
                <c:pt idx="95">
                  <c:v>-39.102713756971362</c:v>
                </c:pt>
                <c:pt idx="96">
                  <c:v>-38.353103815861665</c:v>
                </c:pt>
                <c:pt idx="97">
                  <c:v>-37.601831783057932</c:v>
                </c:pt>
                <c:pt idx="98">
                  <c:v>-36.858122441166223</c:v>
                </c:pt>
                <c:pt idx="99">
                  <c:v>-36.120235009988328</c:v>
                </c:pt>
                <c:pt idx="100">
                  <c:v>-35.386552641508921</c:v>
                </c:pt>
                <c:pt idx="101">
                  <c:v>-34.670926864269383</c:v>
                </c:pt>
                <c:pt idx="102">
                  <c:v>-33.949867449832553</c:v>
                </c:pt>
                <c:pt idx="103">
                  <c:v>-33.225874448549931</c:v>
                </c:pt>
                <c:pt idx="104">
                  <c:v>-32.556005757767366</c:v>
                </c:pt>
                <c:pt idx="105">
                  <c:v>-31.857083794140671</c:v>
                </c:pt>
                <c:pt idx="106">
                  <c:v>-31.184860682425558</c:v>
                </c:pt>
                <c:pt idx="107">
                  <c:v>-30.51377847270934</c:v>
                </c:pt>
                <c:pt idx="108">
                  <c:v>-29.868913183025345</c:v>
                </c:pt>
                <c:pt idx="109">
                  <c:v>-29.226495839337677</c:v>
                </c:pt>
                <c:pt idx="110">
                  <c:v>-28.587956966098616</c:v>
                </c:pt>
                <c:pt idx="111">
                  <c:v>-27.975273041356779</c:v>
                </c:pt>
                <c:pt idx="112">
                  <c:v>-27.367198433358993</c:v>
                </c:pt>
                <c:pt idx="113">
                  <c:v>-26.764830867591609</c:v>
                </c:pt>
                <c:pt idx="114">
                  <c:v>-26.187379162327559</c:v>
                </c:pt>
                <c:pt idx="115">
                  <c:v>-25.598470848485039</c:v>
                </c:pt>
                <c:pt idx="116">
                  <c:v>-25.05134530102595</c:v>
                </c:pt>
                <c:pt idx="117">
                  <c:v>-24.494323754770267</c:v>
                </c:pt>
                <c:pt idx="118">
                  <c:v>-23.945513703009961</c:v>
                </c:pt>
                <c:pt idx="119">
                  <c:v>-23.420145109207365</c:v>
                </c:pt>
                <c:pt idx="120">
                  <c:v>-22.90273490946517</c:v>
                </c:pt>
                <c:pt idx="121">
                  <c:v>-22.393743454100989</c:v>
                </c:pt>
                <c:pt idx="122">
                  <c:v>-21.893560328846082</c:v>
                </c:pt>
                <c:pt idx="123">
                  <c:v>-21.414830135831998</c:v>
                </c:pt>
                <c:pt idx="124">
                  <c:v>-20.932635543749264</c:v>
                </c:pt>
                <c:pt idx="125">
                  <c:v>-20.471341792999809</c:v>
                </c:pt>
                <c:pt idx="126">
                  <c:v>-20.008056090438373</c:v>
                </c:pt>
                <c:pt idx="127">
                  <c:v>-19.564995859344538</c:v>
                </c:pt>
                <c:pt idx="128">
                  <c:v>-19.131012312044263</c:v>
                </c:pt>
                <c:pt idx="129">
                  <c:v>-18.696754716368641</c:v>
                </c:pt>
                <c:pt idx="130">
                  <c:v>-18.281561727033306</c:v>
                </c:pt>
                <c:pt idx="131">
                  <c:v>-17.866959423879134</c:v>
                </c:pt>
                <c:pt idx="132">
                  <c:v>-17.470568816325851</c:v>
                </c:pt>
                <c:pt idx="133">
                  <c:v>-17.075449872812964</c:v>
                </c:pt>
                <c:pt idx="134">
                  <c:v>-16.690123555988546</c:v>
                </c:pt>
                <c:pt idx="135">
                  <c:v>-16.314465729072918</c:v>
                </c:pt>
                <c:pt idx="136">
                  <c:v>-15.94833706658688</c:v>
                </c:pt>
                <c:pt idx="137">
                  <c:v>-15.591585328063724</c:v>
                </c:pt>
                <c:pt idx="138">
                  <c:v>-15.237756650098275</c:v>
                </c:pt>
                <c:pt idx="139">
                  <c:v>-14.893523644718448</c:v>
                </c:pt>
                <c:pt idx="140">
                  <c:v>-14.558667168981305</c:v>
                </c:pt>
                <c:pt idx="141">
                  <c:v>-14.232964760479179</c:v>
                </c:pt>
                <c:pt idx="142">
                  <c:v>-13.910943714984136</c:v>
                </c:pt>
                <c:pt idx="143">
                  <c:v>-13.593075535174087</c:v>
                </c:pt>
                <c:pt idx="144">
                  <c:v>-13.289345528644469</c:v>
                </c:pt>
                <c:pt idx="145">
                  <c:v>-12.989674845246165</c:v>
                </c:pt>
                <c:pt idx="146">
                  <c:v>-12.694417371809287</c:v>
                </c:pt>
                <c:pt idx="147">
                  <c:v>-12.408054950788308</c:v>
                </c:pt>
                <c:pt idx="148">
                  <c:v>-12.126294482636402</c:v>
                </c:pt>
                <c:pt idx="149">
                  <c:v>-11.853188788497439</c:v>
                </c:pt>
                <c:pt idx="150">
                  <c:v>-11.584783334187774</c:v>
                </c:pt>
                <c:pt idx="151">
                  <c:v>-11.321263508238591</c:v>
                </c:pt>
                <c:pt idx="152">
                  <c:v>-11.066105487082492</c:v>
                </c:pt>
                <c:pt idx="153">
                  <c:v>-10.815806634231986</c:v>
                </c:pt>
                <c:pt idx="154">
                  <c:v>-10.570477914347704</c:v>
                </c:pt>
                <c:pt idx="155">
                  <c:v>-10.330203817021767</c:v>
                </c:pt>
                <c:pt idx="156">
                  <c:v>-10.095044746973382</c:v>
                </c:pt>
                <c:pt idx="157">
                  <c:v>-9.8676844381924429</c:v>
                </c:pt>
                <c:pt idx="158">
                  <c:v>-9.6427326058977627</c:v>
                </c:pt>
                <c:pt idx="159">
                  <c:v>-9.4253738543433805</c:v>
                </c:pt>
                <c:pt idx="160">
                  <c:v>-9.2106575129240422</c:v>
                </c:pt>
                <c:pt idx="161">
                  <c:v>-9.0010823846281642</c:v>
                </c:pt>
                <c:pt idx="162">
                  <c:v>-8.7966074942977617</c:v>
                </c:pt>
                <c:pt idx="163">
                  <c:v>-8.5971811041172543</c:v>
                </c:pt>
                <c:pt idx="164">
                  <c:v>-8.4027421166366079</c:v>
                </c:pt>
                <c:pt idx="165">
                  <c:v>-8.2113875885660637</c:v>
                </c:pt>
                <c:pt idx="166">
                  <c:v>-8.0250388252872789</c:v>
                </c:pt>
                <c:pt idx="167">
                  <c:v>-7.8436021694692677</c:v>
                </c:pt>
                <c:pt idx="168">
                  <c:v>-7.6653815408537156</c:v>
                </c:pt>
                <c:pt idx="169">
                  <c:v>-7.4904900458088717</c:v>
                </c:pt>
                <c:pt idx="170">
                  <c:v>-7.3204761662811757</c:v>
                </c:pt>
                <c:pt idx="171">
                  <c:v>-7.1538222807940244</c:v>
                </c:pt>
                <c:pt idx="172">
                  <c:v>-6.9919193705393061</c:v>
                </c:pt>
                <c:pt idx="173">
                  <c:v>-6.8333629473439776</c:v>
                </c:pt>
                <c:pt idx="174">
                  <c:v>-6.6781902040948893</c:v>
                </c:pt>
                <c:pt idx="175">
                  <c:v>-6.5264242512412505</c:v>
                </c:pt>
                <c:pt idx="176">
                  <c:v>-6.3780755209186566</c:v>
                </c:pt>
                <c:pt idx="177">
                  <c:v>-6.233143087600804</c:v>
                </c:pt>
                <c:pt idx="178">
                  <c:v>-6.0906064642296789</c:v>
                </c:pt>
                <c:pt idx="179">
                  <c:v>-5.9525097393239141</c:v>
                </c:pt>
                <c:pt idx="180">
                  <c:v>-5.8168474381856941</c:v>
                </c:pt>
                <c:pt idx="181">
                  <c:v>-5.6845880648985556</c:v>
                </c:pt>
                <c:pt idx="182">
                  <c:v>-5.5556850112887473</c:v>
                </c:pt>
                <c:pt idx="183">
                  <c:v>-5.4292845815722117</c:v>
                </c:pt>
                <c:pt idx="184">
                  <c:v>-5.3062051172474236</c:v>
                </c:pt>
                <c:pt idx="185">
                  <c:v>-5.185650568351587</c:v>
                </c:pt>
                <c:pt idx="186">
                  <c:v>-5.0676524464634261</c:v>
                </c:pt>
                <c:pt idx="187">
                  <c:v>-4.9522312236499566</c:v>
                </c:pt>
                <c:pt idx="188">
                  <c:v>-4.8393974228288457</c:v>
                </c:pt>
                <c:pt idx="189">
                  <c:v>-4.7297613919813219</c:v>
                </c:pt>
                <c:pt idx="190">
                  <c:v>-4.6220718845527164</c:v>
                </c:pt>
                <c:pt idx="191">
                  <c:v>-4.5169528768790155</c:v>
                </c:pt>
                <c:pt idx="192">
                  <c:v>-4.4138543573868265</c:v>
                </c:pt>
                <c:pt idx="193">
                  <c:v>-4.3138355263058878</c:v>
                </c:pt>
                <c:pt idx="194">
                  <c:v>-4.2153437871976092</c:v>
                </c:pt>
                <c:pt idx="195">
                  <c:v>-4.1193993018271557</c:v>
                </c:pt>
                <c:pt idx="196">
                  <c:v>-4.0259583608673211</c:v>
                </c:pt>
                <c:pt idx="197">
                  <c:v>-3.9341319121253675</c:v>
                </c:pt>
                <c:pt idx="198">
                  <c:v>-3.8447895908562622</c:v>
                </c:pt>
                <c:pt idx="199">
                  <c:v>-3.7574913940628392</c:v>
                </c:pt>
                <c:pt idx="200">
                  <c:v>-3.6718651756357534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47392"/>
        <c:axId val="249545856"/>
      </c:scatterChart>
      <c:valAx>
        <c:axId val="249541760"/>
        <c:scaling>
          <c:logBase val="10"/>
          <c:orientation val="minMax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 [Hz]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543680"/>
        <c:crosses val="autoZero"/>
        <c:crossBetween val="midCat"/>
      </c:valAx>
      <c:valAx>
        <c:axId val="249543680"/>
        <c:scaling>
          <c:orientation val="minMax"/>
          <c:max val="4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Impedance  [Ohms]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541760"/>
        <c:crosses val="autoZero"/>
        <c:crossBetween val="midCat"/>
        <c:majorUnit val="4"/>
        <c:minorUnit val="4"/>
      </c:valAx>
      <c:valAx>
        <c:axId val="249545856"/>
        <c:scaling>
          <c:orientation val="minMax"/>
          <c:max val="6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crossAx val="249547392"/>
        <c:crosses val="max"/>
        <c:crossBetween val="midCat"/>
        <c:majorUnit val="10"/>
      </c:valAx>
      <c:valAx>
        <c:axId val="249547392"/>
        <c:scaling>
          <c:logBase val="10"/>
          <c:orientation val="minMax"/>
        </c:scaling>
        <c:delete val="1"/>
        <c:axPos val="b"/>
        <c:minorGridlines/>
        <c:numFmt formatCode="0.0" sourceLinked="1"/>
        <c:majorTickMark val="out"/>
        <c:minorTickMark val="none"/>
        <c:tickLblPos val="nextTo"/>
        <c:crossAx val="249545856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10</xdr:row>
      <xdr:rowOff>0</xdr:rowOff>
    </xdr:from>
    <xdr:to>
      <xdr:col>17</xdr:col>
      <xdr:colOff>600074</xdr:colOff>
      <xdr:row>45</xdr:row>
      <xdr:rowOff>9525</xdr:rowOff>
    </xdr:to>
    <xdr:graphicFrame macro="">
      <xdr:nvGraphicFramePr>
        <xdr:cNvPr id="6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84</xdr:row>
      <xdr:rowOff>0</xdr:rowOff>
    </xdr:from>
    <xdr:to>
      <xdr:col>17</xdr:col>
      <xdr:colOff>600075</xdr:colOff>
      <xdr:row>119</xdr:row>
      <xdr:rowOff>9525</xdr:rowOff>
    </xdr:to>
    <xdr:graphicFrame macro="">
      <xdr:nvGraphicFramePr>
        <xdr:cNvPr id="13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6</xdr:col>
      <xdr:colOff>0</xdr:colOff>
      <xdr:row>47</xdr:row>
      <xdr:rowOff>0</xdr:rowOff>
    </xdr:from>
    <xdr:to>
      <xdr:col>18</xdr:col>
      <xdr:colOff>0</xdr:colOff>
      <xdr:row>82</xdr:row>
      <xdr:rowOff>9525</xdr:rowOff>
    </xdr:to>
    <xdr:graphicFrame macro="">
      <xdr:nvGraphicFramePr>
        <xdr:cNvPr id="9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6</xdr:col>
      <xdr:colOff>0</xdr:colOff>
      <xdr:row>121</xdr:row>
      <xdr:rowOff>9525</xdr:rowOff>
    </xdr:from>
    <xdr:to>
      <xdr:col>17</xdr:col>
      <xdr:colOff>600075</xdr:colOff>
      <xdr:row>156</xdr:row>
      <xdr:rowOff>19050</xdr:rowOff>
    </xdr:to>
    <xdr:graphicFrame macro="">
      <xdr:nvGraphicFramePr>
        <xdr:cNvPr id="14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W367"/>
  <sheetViews>
    <sheetView tabSelected="1" zoomScaleNormal="100" workbookViewId="0">
      <selection activeCell="E25" sqref="E25"/>
    </sheetView>
  </sheetViews>
  <sheetFormatPr defaultRowHeight="12.75" x14ac:dyDescent="0.2"/>
  <cols>
    <col min="1" max="1" width="4.7109375" style="40" customWidth="1"/>
    <col min="2" max="2" width="37.7109375" style="40" customWidth="1"/>
    <col min="3" max="3" width="12.7109375" style="41" customWidth="1"/>
    <col min="4" max="4" width="12.7109375" style="42" customWidth="1"/>
    <col min="5" max="5" width="10.7109375" style="42" customWidth="1"/>
    <col min="6" max="8" width="10.7109375" style="40" customWidth="1"/>
    <col min="9" max="12" width="12.7109375" style="40" customWidth="1"/>
    <col min="13" max="17" width="11.7109375" style="40" customWidth="1"/>
    <col min="18" max="22" width="9.140625" style="40"/>
    <col min="23" max="23" width="12.7109375" style="40" customWidth="1"/>
    <col min="24" max="16384" width="9.140625" style="40"/>
  </cols>
  <sheetData>
    <row r="3" spans="2:22" ht="24" customHeight="1" x14ac:dyDescent="0.2">
      <c r="B3" s="127" t="s">
        <v>53</v>
      </c>
      <c r="C3" s="127"/>
      <c r="D3" s="127"/>
      <c r="E3" s="127"/>
    </row>
    <row r="4" spans="2:22" ht="12.75" customHeight="1" x14ac:dyDescent="0.2"/>
    <row r="5" spans="2:22" ht="26.1" customHeight="1" x14ac:dyDescent="0.2">
      <c r="B5" s="132" t="s">
        <v>120</v>
      </c>
      <c r="C5" s="133"/>
      <c r="D5" s="133"/>
      <c r="E5" s="133"/>
      <c r="G5" s="43"/>
    </row>
    <row r="6" spans="2:22" ht="12.75" customHeight="1" x14ac:dyDescent="0.2">
      <c r="B6" s="118"/>
      <c r="C6" s="119"/>
      <c r="D6" s="119"/>
      <c r="E6" s="119"/>
      <c r="G6" s="43"/>
    </row>
    <row r="7" spans="2:22" ht="12.75" customHeight="1" x14ac:dyDescent="0.2">
      <c r="G7" s="43"/>
    </row>
    <row r="8" spans="2:22" ht="12.75" customHeight="1" x14ac:dyDescent="0.2">
      <c r="B8" s="44" t="s">
        <v>117</v>
      </c>
      <c r="C8" s="120" t="s">
        <v>119</v>
      </c>
      <c r="D8" s="45"/>
      <c r="E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2:22" ht="12.75" customHeight="1" thickBot="1" x14ac:dyDescent="0.25">
      <c r="F9" s="116"/>
    </row>
    <row r="10" spans="2:22" ht="18" customHeight="1" thickTop="1" x14ac:dyDescent="0.2">
      <c r="B10" s="36" t="s">
        <v>39</v>
      </c>
      <c r="C10" s="37" t="s">
        <v>16</v>
      </c>
      <c r="D10" s="38" t="s">
        <v>17</v>
      </c>
      <c r="E10" s="39" t="s">
        <v>18</v>
      </c>
    </row>
    <row r="11" spans="2:22" ht="12.75" customHeight="1" x14ac:dyDescent="0.2">
      <c r="B11" s="4"/>
      <c r="C11" s="2"/>
      <c r="D11" s="3"/>
      <c r="E11" s="16"/>
    </row>
    <row r="12" spans="2:22" ht="12.75" customHeight="1" x14ac:dyDescent="0.2">
      <c r="B12" s="1" t="s">
        <v>38</v>
      </c>
      <c r="C12" s="2"/>
      <c r="D12" s="3"/>
      <c r="E12" s="16"/>
    </row>
    <row r="13" spans="2:22" ht="12.75" customHeight="1" x14ac:dyDescent="0.2">
      <c r="B13" s="4" t="s">
        <v>9</v>
      </c>
      <c r="C13" s="2" t="s">
        <v>3</v>
      </c>
      <c r="D13" s="3" t="s">
        <v>19</v>
      </c>
      <c r="E13" s="16">
        <v>1.204</v>
      </c>
    </row>
    <row r="14" spans="2:22" ht="12.75" customHeight="1" x14ac:dyDescent="0.2">
      <c r="B14" s="4" t="s">
        <v>10</v>
      </c>
      <c r="C14" s="2" t="s">
        <v>41</v>
      </c>
      <c r="D14" s="3" t="s">
        <v>20</v>
      </c>
      <c r="E14" s="16">
        <v>343.2</v>
      </c>
    </row>
    <row r="15" spans="2:22" ht="12.75" customHeight="1" x14ac:dyDescent="0.2">
      <c r="B15" s="4"/>
      <c r="C15" s="2"/>
      <c r="D15" s="3"/>
      <c r="E15" s="16"/>
    </row>
    <row r="16" spans="2:22" ht="12.75" customHeight="1" thickBot="1" x14ac:dyDescent="0.25">
      <c r="B16" s="1" t="s">
        <v>102</v>
      </c>
      <c r="C16" s="2"/>
      <c r="D16" s="3"/>
      <c r="E16" s="16"/>
    </row>
    <row r="17" spans="2:5" ht="12.75" customHeight="1" x14ac:dyDescent="0.2">
      <c r="B17" s="5" t="s">
        <v>58</v>
      </c>
      <c r="C17" s="6" t="s">
        <v>50</v>
      </c>
      <c r="D17" s="7" t="s">
        <v>21</v>
      </c>
      <c r="E17" s="108">
        <v>6</v>
      </c>
    </row>
    <row r="18" spans="2:5" ht="12.75" customHeight="1" x14ac:dyDescent="0.2">
      <c r="B18" s="5" t="s">
        <v>59</v>
      </c>
      <c r="C18" s="6" t="s">
        <v>51</v>
      </c>
      <c r="D18" s="7" t="s">
        <v>22</v>
      </c>
      <c r="E18" s="109">
        <v>0</v>
      </c>
    </row>
    <row r="19" spans="2:5" ht="12.75" customHeight="1" x14ac:dyDescent="0.2">
      <c r="B19" s="4" t="s">
        <v>11</v>
      </c>
      <c r="C19" s="2" t="s">
        <v>0</v>
      </c>
      <c r="D19" s="3" t="s">
        <v>23</v>
      </c>
      <c r="E19" s="106">
        <v>30</v>
      </c>
    </row>
    <row r="20" spans="2:5" ht="12.75" customHeight="1" x14ac:dyDescent="0.2">
      <c r="B20" s="4" t="s">
        <v>49</v>
      </c>
      <c r="C20" s="6" t="s">
        <v>63</v>
      </c>
      <c r="D20" s="7" t="s">
        <v>24</v>
      </c>
      <c r="E20" s="110">
        <v>3</v>
      </c>
    </row>
    <row r="21" spans="2:5" ht="12.75" customHeight="1" thickBot="1" x14ac:dyDescent="0.25">
      <c r="B21" s="4" t="s">
        <v>12</v>
      </c>
      <c r="C21" s="6" t="s">
        <v>64</v>
      </c>
      <c r="D21" s="7" t="s">
        <v>24</v>
      </c>
      <c r="E21" s="111">
        <v>0.46800000000000003</v>
      </c>
    </row>
    <row r="22" spans="2:5" ht="12.75" customHeight="1" thickBot="1" x14ac:dyDescent="0.25">
      <c r="B22" s="4" t="s">
        <v>28</v>
      </c>
      <c r="C22" s="2" t="s">
        <v>65</v>
      </c>
      <c r="D22" s="7" t="s">
        <v>24</v>
      </c>
      <c r="E22" s="121">
        <f>(Qms*Qes)/(Qms+Qes)</f>
        <v>0.40484429065743949</v>
      </c>
    </row>
    <row r="23" spans="2:5" ht="12.75" customHeight="1" x14ac:dyDescent="0.2">
      <c r="B23" s="4" t="s">
        <v>14</v>
      </c>
      <c r="C23" s="2" t="s">
        <v>2</v>
      </c>
      <c r="D23" s="3" t="s">
        <v>26</v>
      </c>
      <c r="E23" s="112">
        <v>2.24E-2</v>
      </c>
    </row>
    <row r="24" spans="2:5" ht="12.75" customHeight="1" x14ac:dyDescent="0.2">
      <c r="B24" s="4" t="s">
        <v>13</v>
      </c>
      <c r="C24" s="2" t="s">
        <v>1</v>
      </c>
      <c r="D24" s="3" t="s">
        <v>25</v>
      </c>
      <c r="E24" s="113">
        <v>4.2139999999999997E-2</v>
      </c>
    </row>
    <row r="25" spans="2:5" ht="12.75" customHeight="1" thickBot="1" x14ac:dyDescent="0.25">
      <c r="B25" s="4" t="s">
        <v>15</v>
      </c>
      <c r="C25" s="6" t="s">
        <v>52</v>
      </c>
      <c r="D25" s="8" t="s">
        <v>85</v>
      </c>
      <c r="E25" s="114">
        <v>6</v>
      </c>
    </row>
    <row r="26" spans="2:5" ht="12.75" customHeight="1" x14ac:dyDescent="0.2">
      <c r="B26" s="9" t="s">
        <v>80</v>
      </c>
      <c r="C26" s="6"/>
      <c r="D26" s="3"/>
      <c r="E26" s="13"/>
    </row>
    <row r="27" spans="2:5" ht="12.75" customHeight="1" x14ac:dyDescent="0.2">
      <c r="B27" s="10" t="s">
        <v>48</v>
      </c>
      <c r="C27" s="6" t="s">
        <v>4</v>
      </c>
      <c r="D27" s="3" t="s">
        <v>32</v>
      </c>
      <c r="E27" s="12">
        <f>(Rho*SS^2*E23^2)/Vas</f>
        <v>1688.5835366399999</v>
      </c>
    </row>
    <row r="28" spans="2:5" ht="12.75" customHeight="1" x14ac:dyDescent="0.2">
      <c r="B28" s="10" t="s">
        <v>29</v>
      </c>
      <c r="C28" s="6" t="s">
        <v>5</v>
      </c>
      <c r="D28" s="3" t="s">
        <v>33</v>
      </c>
      <c r="E28" s="13">
        <f>E27/(2*PI()*Fs)^2</f>
        <v>4.7524800725369354E-2</v>
      </c>
    </row>
    <row r="29" spans="2:5" ht="12.75" customHeight="1" x14ac:dyDescent="0.2">
      <c r="B29" s="10" t="s">
        <v>30</v>
      </c>
      <c r="C29" s="6" t="s">
        <v>6</v>
      </c>
      <c r="D29" s="3" t="s">
        <v>34</v>
      </c>
      <c r="E29" s="14">
        <f>SQRT(Md*Kd)/Qms</f>
        <v>2.9860712964427845</v>
      </c>
    </row>
    <row r="30" spans="2:5" ht="12.75" customHeight="1" x14ac:dyDescent="0.2">
      <c r="B30" s="10" t="s">
        <v>31</v>
      </c>
      <c r="C30" s="6" t="s">
        <v>7</v>
      </c>
      <c r="D30" s="3" t="s">
        <v>35</v>
      </c>
      <c r="E30" s="14">
        <f>SQRT(Re*SQRT(Md*Kd)/Qes)</f>
        <v>10.716757719433156</v>
      </c>
    </row>
    <row r="31" spans="2:5" ht="12.75" customHeight="1" x14ac:dyDescent="0.2">
      <c r="B31" s="11" t="s">
        <v>60</v>
      </c>
      <c r="C31" s="6" t="s">
        <v>61</v>
      </c>
      <c r="D31" s="8" t="s">
        <v>62</v>
      </c>
      <c r="E31" s="15">
        <f>79.6+20*LOG10((Sd*Bl)/(Md*Re))</f>
        <v>78.104797517725032</v>
      </c>
    </row>
    <row r="32" spans="2:5" ht="12.75" customHeight="1" x14ac:dyDescent="0.2">
      <c r="B32" s="4"/>
      <c r="C32" s="2"/>
      <c r="D32" s="3"/>
      <c r="E32" s="13"/>
    </row>
    <row r="33" spans="1:7" ht="12.75" customHeight="1" thickBot="1" x14ac:dyDescent="0.25">
      <c r="B33" s="1" t="s">
        <v>116</v>
      </c>
      <c r="C33" s="2"/>
      <c r="D33" s="3"/>
      <c r="E33" s="16"/>
    </row>
    <row r="34" spans="1:7" ht="12.75" customHeight="1" x14ac:dyDescent="0.2">
      <c r="B34" s="4" t="s">
        <v>36</v>
      </c>
      <c r="C34" s="2" t="s">
        <v>8</v>
      </c>
      <c r="D34" s="3" t="s">
        <v>25</v>
      </c>
      <c r="E34" s="105">
        <v>3.9699999999999999E-2</v>
      </c>
    </row>
    <row r="35" spans="1:7" ht="12.75" customHeight="1" x14ac:dyDescent="0.2">
      <c r="B35" s="4" t="s">
        <v>37</v>
      </c>
      <c r="C35" s="2" t="s">
        <v>42</v>
      </c>
      <c r="D35" s="3" t="s">
        <v>23</v>
      </c>
      <c r="E35" s="106">
        <v>30</v>
      </c>
    </row>
    <row r="36" spans="1:7" ht="12.75" customHeight="1" thickBot="1" x14ac:dyDescent="0.25">
      <c r="B36" s="4" t="s">
        <v>43</v>
      </c>
      <c r="C36" s="2" t="s">
        <v>44</v>
      </c>
      <c r="D36" s="3" t="s">
        <v>24</v>
      </c>
      <c r="E36" s="107">
        <v>7</v>
      </c>
    </row>
    <row r="37" spans="1:7" ht="12.75" customHeight="1" x14ac:dyDescent="0.2">
      <c r="B37" s="4"/>
      <c r="C37" s="2"/>
      <c r="D37" s="3"/>
      <c r="E37" s="16"/>
    </row>
    <row r="38" spans="1:7" ht="12.75" customHeight="1" thickBot="1" x14ac:dyDescent="0.25">
      <c r="B38" s="1" t="s">
        <v>103</v>
      </c>
      <c r="C38" s="2"/>
      <c r="D38" s="3"/>
      <c r="E38" s="16"/>
    </row>
    <row r="39" spans="1:7" ht="12.75" customHeight="1" x14ac:dyDescent="0.25">
      <c r="B39" s="5" t="s">
        <v>57</v>
      </c>
      <c r="C39" s="6" t="s">
        <v>54</v>
      </c>
      <c r="D39" s="3" t="s">
        <v>26</v>
      </c>
      <c r="E39" s="115">
        <v>3.8600000000000001E-3</v>
      </c>
      <c r="G39" s="46"/>
    </row>
    <row r="40" spans="1:7" ht="12.75" customHeight="1" x14ac:dyDescent="0.25">
      <c r="B40" s="5" t="s">
        <v>91</v>
      </c>
      <c r="C40" s="6" t="s">
        <v>92</v>
      </c>
      <c r="D40" s="8" t="s">
        <v>27</v>
      </c>
      <c r="E40" s="111">
        <f>2*SQRT(E39/PI())</f>
        <v>7.0104954480248602E-2</v>
      </c>
      <c r="G40" s="46"/>
    </row>
    <row r="41" spans="1:7" ht="12.75" customHeight="1" thickBot="1" x14ac:dyDescent="0.25">
      <c r="B41" s="5" t="s">
        <v>55</v>
      </c>
      <c r="C41" s="6" t="s">
        <v>56</v>
      </c>
      <c r="D41" s="8" t="s">
        <v>20</v>
      </c>
      <c r="E41" s="114">
        <v>20</v>
      </c>
    </row>
    <row r="42" spans="1:7" ht="12.75" customHeight="1" x14ac:dyDescent="0.2">
      <c r="A42" s="43"/>
      <c r="B42" s="4"/>
      <c r="C42" s="2"/>
      <c r="D42" s="3"/>
      <c r="E42" s="13"/>
    </row>
    <row r="43" spans="1:7" ht="12.75" customHeight="1" x14ac:dyDescent="0.2">
      <c r="B43" s="1" t="s">
        <v>40</v>
      </c>
      <c r="C43" s="2"/>
      <c r="D43" s="3"/>
      <c r="E43" s="16"/>
    </row>
    <row r="44" spans="1:7" ht="12.75" customHeight="1" x14ac:dyDescent="0.2">
      <c r="B44" s="4" t="s">
        <v>45</v>
      </c>
      <c r="C44" s="2" t="s">
        <v>46</v>
      </c>
      <c r="D44" s="3" t="s">
        <v>34</v>
      </c>
      <c r="E44" s="17">
        <f>(Qbl*Rho*SS^2*Sp^2)/(2*PI()*Fb*Vb)</f>
        <v>1.976523875516395</v>
      </c>
    </row>
    <row r="45" spans="1:7" ht="12.75" customHeight="1" x14ac:dyDescent="0.2">
      <c r="B45" s="5" t="s">
        <v>66</v>
      </c>
      <c r="C45" s="6" t="s">
        <v>69</v>
      </c>
      <c r="D45" s="3" t="s">
        <v>33</v>
      </c>
      <c r="E45" s="18">
        <f>Kbp/(2*PI()*Fb)^2</f>
        <v>1.4979692615599254E-3</v>
      </c>
    </row>
    <row r="46" spans="1:7" ht="12.75" customHeight="1" x14ac:dyDescent="0.2">
      <c r="B46" s="5" t="s">
        <v>67</v>
      </c>
      <c r="C46" s="6" t="s">
        <v>68</v>
      </c>
      <c r="D46" s="3" t="s">
        <v>32</v>
      </c>
      <c r="E46" s="19">
        <f>(Rho*SS^2*Sp^2)/Vb</f>
        <v>53.223710459718284</v>
      </c>
    </row>
    <row r="47" spans="1:7" ht="12.75" customHeight="1" x14ac:dyDescent="0.2">
      <c r="B47" s="5" t="s">
        <v>83</v>
      </c>
      <c r="C47" s="6" t="s">
        <v>87</v>
      </c>
      <c r="D47" s="8" t="s">
        <v>27</v>
      </c>
      <c r="E47" s="19">
        <f>(2984*Sp)/(Vb*Fb^2)-1.46*SQRT(Sp/PI())</f>
        <v>0.27119226092323329</v>
      </c>
    </row>
    <row r="48" spans="1:7" ht="12.75" customHeight="1" thickBot="1" x14ac:dyDescent="0.25">
      <c r="B48" s="5"/>
      <c r="C48" s="6"/>
      <c r="D48" s="8"/>
      <c r="E48" s="19"/>
    </row>
    <row r="49" spans="2:11" ht="12.75" customHeight="1" thickBot="1" x14ac:dyDescent="0.25">
      <c r="B49" s="20"/>
      <c r="C49" s="21"/>
      <c r="D49" s="22"/>
      <c r="E49" s="23"/>
    </row>
    <row r="50" spans="2:11" ht="12.75" customHeight="1" x14ac:dyDescent="0.2">
      <c r="B50" s="24"/>
      <c r="C50" s="25"/>
      <c r="D50" s="26"/>
      <c r="E50" s="27"/>
    </row>
    <row r="51" spans="2:11" ht="12.75" customHeight="1" x14ac:dyDescent="0.2">
      <c r="B51" s="28" t="s">
        <v>98</v>
      </c>
      <c r="C51" s="25"/>
      <c r="D51" s="26"/>
      <c r="E51" s="27"/>
    </row>
    <row r="52" spans="2:11" ht="12.75" customHeight="1" x14ac:dyDescent="0.2">
      <c r="B52" s="29" t="s">
        <v>81</v>
      </c>
      <c r="C52" s="6" t="s">
        <v>99</v>
      </c>
      <c r="D52" s="8" t="s">
        <v>85</v>
      </c>
      <c r="E52" s="30">
        <f>MAX(J167:J317)</f>
        <v>0.26187265327280901</v>
      </c>
    </row>
    <row r="53" spans="2:11" ht="12.75" customHeight="1" x14ac:dyDescent="0.2">
      <c r="B53" s="29" t="s">
        <v>106</v>
      </c>
      <c r="C53" s="6" t="s">
        <v>94</v>
      </c>
      <c r="D53" s="8" t="s">
        <v>97</v>
      </c>
      <c r="E53" s="15">
        <f>Xdmax/E52</f>
        <v>22.911899829988844</v>
      </c>
    </row>
    <row r="54" spans="2:11" ht="12.75" customHeight="1" x14ac:dyDescent="0.2">
      <c r="B54" s="29" t="s">
        <v>82</v>
      </c>
      <c r="C54" s="6" t="s">
        <v>100</v>
      </c>
      <c r="D54" s="8" t="s">
        <v>20</v>
      </c>
      <c r="E54" s="14">
        <f>MAX(L167:L317)</f>
        <v>0.87332481163300091</v>
      </c>
      <c r="K54" s="47"/>
    </row>
    <row r="55" spans="2:11" ht="12.75" customHeight="1" x14ac:dyDescent="0.2">
      <c r="B55" s="29" t="s">
        <v>88</v>
      </c>
      <c r="C55" s="6" t="s">
        <v>93</v>
      </c>
      <c r="D55" s="8" t="s">
        <v>97</v>
      </c>
      <c r="E55" s="15">
        <f>Vpm/E54</f>
        <v>22.900986819099607</v>
      </c>
    </row>
    <row r="56" spans="2:11" ht="12.75" customHeight="1" x14ac:dyDescent="0.2">
      <c r="B56" s="29" t="s">
        <v>104</v>
      </c>
      <c r="C56" s="6" t="s">
        <v>105</v>
      </c>
      <c r="D56" s="8" t="s">
        <v>97</v>
      </c>
      <c r="E56" s="15">
        <f>IF(MVd&lt;MVp,MVd,MVp)</f>
        <v>22.900986819099607</v>
      </c>
    </row>
    <row r="57" spans="2:11" ht="12.75" customHeight="1" x14ac:dyDescent="0.2">
      <c r="B57" s="29" t="s">
        <v>118</v>
      </c>
      <c r="C57" s="6" t="s">
        <v>89</v>
      </c>
      <c r="D57" s="8" t="s">
        <v>26</v>
      </c>
      <c r="E57" s="31">
        <f>Sp*MVd/MVp</f>
        <v>3.8618394064135839E-3</v>
      </c>
    </row>
    <row r="58" spans="2:11" ht="12.75" customHeight="1" x14ac:dyDescent="0.2">
      <c r="B58" s="29" t="s">
        <v>86</v>
      </c>
      <c r="C58" s="6" t="s">
        <v>90</v>
      </c>
      <c r="D58" s="8" t="s">
        <v>27</v>
      </c>
      <c r="E58" s="30">
        <f>(2984*SpR)/(Vb*Fb^2)-1.46*SQRT(SpR/PI())</f>
        <v>0.27133368726741058</v>
      </c>
    </row>
    <row r="59" spans="2:11" s="43" customFormat="1" ht="12.75" customHeight="1" thickBot="1" x14ac:dyDescent="0.25">
      <c r="B59" s="32" t="s">
        <v>95</v>
      </c>
      <c r="C59" s="33" t="s">
        <v>96</v>
      </c>
      <c r="D59" s="34" t="s">
        <v>27</v>
      </c>
      <c r="E59" s="35">
        <f>0.85*Vb^(1/3)-2*SQRT(Sp/PI())</f>
        <v>0.21986239221974252</v>
      </c>
    </row>
    <row r="60" spans="2:11" ht="12.75" customHeight="1" thickTop="1" x14ac:dyDescent="0.2">
      <c r="B60" s="48"/>
      <c r="D60" s="49"/>
    </row>
    <row r="61" spans="2:11" ht="12.75" customHeight="1" x14ac:dyDescent="0.2">
      <c r="B61" s="48"/>
      <c r="D61" s="49"/>
    </row>
    <row r="62" spans="2:11" ht="12.75" customHeight="1" x14ac:dyDescent="0.2">
      <c r="B62" s="48"/>
      <c r="D62" s="49"/>
    </row>
    <row r="63" spans="2:11" ht="12.75" customHeight="1" x14ac:dyDescent="0.2">
      <c r="B63" s="48"/>
      <c r="D63" s="49"/>
    </row>
    <row r="64" spans="2:11" ht="12.75" customHeight="1" x14ac:dyDescent="0.2">
      <c r="B64" s="48"/>
      <c r="D64" s="49"/>
    </row>
    <row r="65" spans="2:7" ht="12.75" customHeight="1" x14ac:dyDescent="0.2">
      <c r="B65" s="48"/>
      <c r="D65" s="49"/>
    </row>
    <row r="66" spans="2:7" ht="12.75" customHeight="1" x14ac:dyDescent="0.2">
      <c r="B66" s="48"/>
      <c r="D66" s="49"/>
    </row>
    <row r="67" spans="2:7" ht="12.75" customHeight="1" x14ac:dyDescent="0.2">
      <c r="B67" s="48"/>
      <c r="D67" s="49"/>
    </row>
    <row r="68" spans="2:7" ht="12.75" customHeight="1" x14ac:dyDescent="0.2">
      <c r="B68" s="48"/>
      <c r="D68" s="49"/>
    </row>
    <row r="69" spans="2:7" ht="12.75" customHeight="1" x14ac:dyDescent="0.2">
      <c r="B69" s="48"/>
      <c r="D69" s="49"/>
    </row>
    <row r="70" spans="2:7" ht="12.75" customHeight="1" x14ac:dyDescent="0.2">
      <c r="B70" s="48"/>
      <c r="D70" s="49"/>
    </row>
    <row r="71" spans="2:7" ht="12.75" customHeight="1" x14ac:dyDescent="0.2">
      <c r="B71" s="48"/>
      <c r="D71" s="49"/>
      <c r="G71" s="47"/>
    </row>
    <row r="72" spans="2:7" ht="12.75" customHeight="1" x14ac:dyDescent="0.2">
      <c r="B72" s="48"/>
      <c r="D72" s="49"/>
    </row>
    <row r="73" spans="2:7" ht="12.75" customHeight="1" x14ac:dyDescent="0.2">
      <c r="B73" s="48"/>
      <c r="D73" s="49"/>
    </row>
    <row r="74" spans="2:7" ht="12.75" customHeight="1" x14ac:dyDescent="0.2">
      <c r="B74" s="48"/>
      <c r="D74" s="49"/>
    </row>
    <row r="75" spans="2:7" ht="12.75" customHeight="1" x14ac:dyDescent="0.2">
      <c r="B75" s="48"/>
      <c r="D75" s="49"/>
    </row>
    <row r="76" spans="2:7" ht="12.75" customHeight="1" x14ac:dyDescent="0.2">
      <c r="B76" s="48"/>
      <c r="D76" s="49"/>
    </row>
    <row r="77" spans="2:7" ht="12.75" customHeight="1" x14ac:dyDescent="0.2">
      <c r="B77" s="48"/>
      <c r="D77" s="49"/>
    </row>
    <row r="78" spans="2:7" ht="12.75" customHeight="1" x14ac:dyDescent="0.2">
      <c r="B78" s="48"/>
      <c r="D78" s="49"/>
    </row>
    <row r="79" spans="2:7" ht="12.75" customHeight="1" x14ac:dyDescent="0.2">
      <c r="B79" s="48"/>
      <c r="D79" s="49"/>
    </row>
    <row r="80" spans="2:7" ht="12.75" customHeight="1" x14ac:dyDescent="0.2">
      <c r="B80" s="48"/>
      <c r="D80" s="49"/>
    </row>
    <row r="81" spans="2:4" ht="12.75" customHeight="1" x14ac:dyDescent="0.2">
      <c r="B81" s="48"/>
      <c r="D81" s="49"/>
    </row>
    <row r="82" spans="2:4" ht="12.75" customHeight="1" x14ac:dyDescent="0.2">
      <c r="B82" s="48"/>
      <c r="D82" s="49"/>
    </row>
    <row r="83" spans="2:4" ht="12.75" customHeight="1" x14ac:dyDescent="0.2">
      <c r="B83" s="48"/>
      <c r="D83" s="49"/>
    </row>
    <row r="84" spans="2:4" ht="12.75" customHeight="1" x14ac:dyDescent="0.2">
      <c r="B84" s="48"/>
      <c r="D84" s="49"/>
    </row>
    <row r="85" spans="2:4" ht="12.75" customHeight="1" x14ac:dyDescent="0.2">
      <c r="B85" s="48"/>
      <c r="D85" s="49"/>
    </row>
    <row r="86" spans="2:4" ht="12.75" customHeight="1" x14ac:dyDescent="0.2">
      <c r="B86" s="48"/>
      <c r="D86" s="49"/>
    </row>
    <row r="87" spans="2:4" ht="12.75" customHeight="1" x14ac:dyDescent="0.2">
      <c r="B87" s="48"/>
      <c r="D87" s="49"/>
    </row>
    <row r="88" spans="2:4" ht="12.75" customHeight="1" x14ac:dyDescent="0.2">
      <c r="B88" s="48"/>
      <c r="D88" s="49"/>
    </row>
    <row r="89" spans="2:4" ht="12.75" customHeight="1" x14ac:dyDescent="0.2">
      <c r="B89" s="48"/>
      <c r="D89" s="49"/>
    </row>
    <row r="90" spans="2:4" ht="12.75" customHeight="1" x14ac:dyDescent="0.2">
      <c r="B90" s="48"/>
      <c r="D90" s="49"/>
    </row>
    <row r="91" spans="2:4" ht="12.75" customHeight="1" x14ac:dyDescent="0.2">
      <c r="B91" s="48"/>
      <c r="D91" s="49"/>
    </row>
    <row r="92" spans="2:4" ht="12.75" customHeight="1" x14ac:dyDescent="0.2">
      <c r="B92" s="48"/>
      <c r="D92" s="49"/>
    </row>
    <row r="93" spans="2:4" ht="12.75" customHeight="1" x14ac:dyDescent="0.2">
      <c r="B93" s="48"/>
      <c r="D93" s="49"/>
    </row>
    <row r="94" spans="2:4" ht="12.75" customHeight="1" x14ac:dyDescent="0.2">
      <c r="B94" s="48"/>
      <c r="D94" s="49"/>
    </row>
    <row r="95" spans="2:4" ht="12.75" customHeight="1" x14ac:dyDescent="0.2">
      <c r="B95" s="48"/>
      <c r="D95" s="49"/>
    </row>
    <row r="96" spans="2:4" ht="12.75" customHeight="1" x14ac:dyDescent="0.2">
      <c r="B96" s="48"/>
      <c r="D96" s="49"/>
    </row>
    <row r="97" spans="2:5" ht="12.75" customHeight="1" x14ac:dyDescent="0.2">
      <c r="B97" s="48"/>
      <c r="D97" s="49"/>
    </row>
    <row r="98" spans="2:5" ht="12.75" customHeight="1" x14ac:dyDescent="0.2">
      <c r="B98" s="48"/>
      <c r="D98" s="49"/>
    </row>
    <row r="99" spans="2:5" ht="12.75" customHeight="1" x14ac:dyDescent="0.2">
      <c r="B99" s="48"/>
      <c r="D99" s="49"/>
    </row>
    <row r="100" spans="2:5" ht="12.75" customHeight="1" x14ac:dyDescent="0.2">
      <c r="B100" s="48"/>
      <c r="D100" s="49"/>
    </row>
    <row r="101" spans="2:5" ht="12.75" customHeight="1" x14ac:dyDescent="0.2">
      <c r="B101" s="48"/>
      <c r="D101" s="49"/>
    </row>
    <row r="102" spans="2:5" ht="12.75" customHeight="1" x14ac:dyDescent="0.2">
      <c r="B102" s="48"/>
      <c r="D102" s="49"/>
    </row>
    <row r="103" spans="2:5" ht="12.75" customHeight="1" x14ac:dyDescent="0.2">
      <c r="B103" s="48"/>
      <c r="D103" s="49"/>
    </row>
    <row r="104" spans="2:5" ht="12.75" customHeight="1" x14ac:dyDescent="0.2">
      <c r="B104" s="48"/>
      <c r="D104" s="49"/>
    </row>
    <row r="105" spans="2:5" ht="12.75" customHeight="1" x14ac:dyDescent="0.2">
      <c r="B105" s="48"/>
      <c r="D105" s="49"/>
    </row>
    <row r="106" spans="2:5" ht="12.75" customHeight="1" x14ac:dyDescent="0.2">
      <c r="B106" s="48"/>
      <c r="D106" s="49"/>
    </row>
    <row r="107" spans="2:5" ht="12.75" customHeight="1" x14ac:dyDescent="0.2">
      <c r="B107" s="48"/>
      <c r="D107" s="49"/>
    </row>
    <row r="108" spans="2:5" ht="12.75" customHeight="1" x14ac:dyDescent="0.2">
      <c r="B108" s="48"/>
      <c r="D108" s="49"/>
    </row>
    <row r="109" spans="2:5" ht="12.75" customHeight="1" x14ac:dyDescent="0.2">
      <c r="B109" s="48"/>
      <c r="D109" s="49"/>
    </row>
    <row r="110" spans="2:5" ht="12.75" customHeight="1" x14ac:dyDescent="0.2">
      <c r="B110" s="48"/>
      <c r="D110" s="49"/>
    </row>
    <row r="111" spans="2:5" ht="12.75" customHeight="1" x14ac:dyDescent="0.2">
      <c r="B111" s="48"/>
      <c r="D111" s="49"/>
      <c r="E111" s="117"/>
    </row>
    <row r="112" spans="2:5" ht="12.75" customHeight="1" x14ac:dyDescent="0.2">
      <c r="B112" s="48"/>
      <c r="D112" s="49"/>
      <c r="E112" s="117"/>
    </row>
    <row r="113" spans="2:11" ht="12.75" customHeight="1" x14ac:dyDescent="0.2">
      <c r="B113" s="48"/>
      <c r="D113" s="49"/>
      <c r="E113" s="117"/>
    </row>
    <row r="114" spans="2:11" ht="12.75" customHeight="1" x14ac:dyDescent="0.2">
      <c r="B114" s="48"/>
      <c r="D114" s="49"/>
      <c r="E114" s="117"/>
    </row>
    <row r="115" spans="2:11" ht="12.75" customHeight="1" x14ac:dyDescent="0.2">
      <c r="B115" s="48"/>
      <c r="D115" s="49"/>
      <c r="E115" s="117"/>
    </row>
    <row r="116" spans="2:11" ht="12.75" customHeight="1" x14ac:dyDescent="0.2">
      <c r="B116" s="48"/>
      <c r="D116" s="49"/>
    </row>
    <row r="117" spans="2:11" ht="12.75" customHeight="1" x14ac:dyDescent="0.2">
      <c r="B117" s="48"/>
      <c r="D117" s="49"/>
    </row>
    <row r="118" spans="2:11" ht="12.75" customHeight="1" x14ac:dyDescent="0.2">
      <c r="B118" s="48"/>
      <c r="D118" s="49"/>
    </row>
    <row r="119" spans="2:11" ht="12.75" customHeight="1" x14ac:dyDescent="0.2">
      <c r="B119" s="48"/>
      <c r="D119" s="49"/>
    </row>
    <row r="120" spans="2:11" ht="12.75" customHeight="1" x14ac:dyDescent="0.2">
      <c r="B120" s="48"/>
      <c r="D120" s="49"/>
      <c r="K120" s="47"/>
    </row>
    <row r="121" spans="2:11" ht="12.75" customHeight="1" x14ac:dyDescent="0.2">
      <c r="B121" s="48"/>
      <c r="D121" s="49"/>
      <c r="E121" s="119"/>
      <c r="K121" s="47"/>
    </row>
    <row r="122" spans="2:11" ht="12.75" customHeight="1" x14ac:dyDescent="0.2">
      <c r="B122" s="48"/>
      <c r="D122" s="49"/>
      <c r="E122" s="119"/>
      <c r="K122" s="47"/>
    </row>
    <row r="123" spans="2:11" ht="12.75" customHeight="1" x14ac:dyDescent="0.2">
      <c r="B123" s="48"/>
      <c r="D123" s="49"/>
      <c r="E123" s="119"/>
      <c r="K123" s="47"/>
    </row>
    <row r="124" spans="2:11" ht="12.75" customHeight="1" x14ac:dyDescent="0.2">
      <c r="B124" s="48"/>
      <c r="D124" s="49"/>
      <c r="E124" s="119"/>
      <c r="K124" s="47"/>
    </row>
    <row r="125" spans="2:11" ht="12.75" customHeight="1" x14ac:dyDescent="0.2">
      <c r="B125" s="48"/>
      <c r="D125" s="49"/>
      <c r="E125" s="119"/>
      <c r="K125" s="47"/>
    </row>
    <row r="126" spans="2:11" ht="12.75" customHeight="1" x14ac:dyDescent="0.2">
      <c r="B126" s="48"/>
      <c r="D126" s="49"/>
      <c r="E126" s="119"/>
      <c r="K126" s="47"/>
    </row>
    <row r="127" spans="2:11" ht="12.75" customHeight="1" x14ac:dyDescent="0.2">
      <c r="B127" s="48"/>
      <c r="D127" s="49"/>
      <c r="E127" s="119"/>
      <c r="K127" s="47"/>
    </row>
    <row r="128" spans="2:11" ht="12.75" customHeight="1" x14ac:dyDescent="0.2">
      <c r="B128" s="48"/>
      <c r="D128" s="49"/>
      <c r="E128" s="119"/>
      <c r="K128" s="47"/>
    </row>
    <row r="129" spans="2:11" ht="12.75" customHeight="1" x14ac:dyDescent="0.2">
      <c r="B129" s="48"/>
      <c r="D129" s="49"/>
      <c r="E129" s="119"/>
      <c r="K129" s="47"/>
    </row>
    <row r="130" spans="2:11" ht="12.75" customHeight="1" x14ac:dyDescent="0.2">
      <c r="B130" s="48"/>
      <c r="D130" s="49"/>
      <c r="E130" s="119"/>
      <c r="K130" s="47"/>
    </row>
    <row r="131" spans="2:11" ht="12.75" customHeight="1" x14ac:dyDescent="0.2">
      <c r="B131" s="48"/>
      <c r="D131" s="49"/>
      <c r="E131" s="119"/>
      <c r="K131" s="47"/>
    </row>
    <row r="132" spans="2:11" ht="12.75" customHeight="1" x14ac:dyDescent="0.2">
      <c r="B132" s="48"/>
      <c r="D132" s="49"/>
      <c r="E132" s="119"/>
      <c r="K132" s="47"/>
    </row>
    <row r="133" spans="2:11" ht="12.75" customHeight="1" x14ac:dyDescent="0.2">
      <c r="B133" s="48"/>
      <c r="D133" s="49"/>
      <c r="E133" s="119"/>
      <c r="K133" s="47"/>
    </row>
    <row r="134" spans="2:11" ht="12.75" customHeight="1" x14ac:dyDescent="0.2">
      <c r="B134" s="48"/>
      <c r="D134" s="49"/>
      <c r="E134" s="119"/>
      <c r="K134" s="47"/>
    </row>
    <row r="135" spans="2:11" ht="12.75" customHeight="1" x14ac:dyDescent="0.2">
      <c r="B135" s="48"/>
      <c r="D135" s="49"/>
      <c r="E135" s="119"/>
      <c r="K135" s="47"/>
    </row>
    <row r="136" spans="2:11" ht="12.75" customHeight="1" x14ac:dyDescent="0.2">
      <c r="B136" s="48"/>
      <c r="D136" s="49"/>
      <c r="E136" s="119"/>
      <c r="K136" s="47"/>
    </row>
    <row r="137" spans="2:11" ht="12.75" customHeight="1" x14ac:dyDescent="0.2">
      <c r="B137" s="48"/>
      <c r="D137" s="49"/>
      <c r="E137" s="119"/>
      <c r="K137" s="47"/>
    </row>
    <row r="138" spans="2:11" ht="12.75" customHeight="1" x14ac:dyDescent="0.2">
      <c r="B138" s="48"/>
      <c r="D138" s="49"/>
      <c r="E138" s="119"/>
      <c r="K138" s="47"/>
    </row>
    <row r="139" spans="2:11" ht="12.75" customHeight="1" x14ac:dyDescent="0.2">
      <c r="B139" s="48"/>
      <c r="D139" s="49"/>
      <c r="E139" s="119"/>
      <c r="K139" s="47"/>
    </row>
    <row r="140" spans="2:11" ht="12.75" customHeight="1" x14ac:dyDescent="0.2">
      <c r="B140" s="48"/>
      <c r="D140" s="49"/>
      <c r="E140" s="119"/>
      <c r="K140" s="47"/>
    </row>
    <row r="141" spans="2:11" ht="12.75" customHeight="1" x14ac:dyDescent="0.2">
      <c r="B141" s="48"/>
      <c r="D141" s="49"/>
      <c r="E141" s="119"/>
      <c r="K141" s="47"/>
    </row>
    <row r="142" spans="2:11" ht="12.75" customHeight="1" x14ac:dyDescent="0.2">
      <c r="B142" s="48"/>
      <c r="D142" s="49"/>
      <c r="E142" s="119"/>
      <c r="K142" s="47"/>
    </row>
    <row r="143" spans="2:11" ht="12.75" customHeight="1" x14ac:dyDescent="0.2">
      <c r="B143" s="48"/>
      <c r="D143" s="49"/>
      <c r="E143" s="119"/>
      <c r="K143" s="47"/>
    </row>
    <row r="144" spans="2:11" ht="12.75" customHeight="1" x14ac:dyDescent="0.2">
      <c r="B144" s="48"/>
      <c r="D144" s="49"/>
      <c r="E144" s="119"/>
      <c r="K144" s="47"/>
    </row>
    <row r="145" spans="2:11" ht="12.75" customHeight="1" x14ac:dyDescent="0.2">
      <c r="B145" s="48"/>
      <c r="D145" s="49"/>
      <c r="E145" s="119"/>
      <c r="K145" s="47"/>
    </row>
    <row r="146" spans="2:11" ht="12.75" customHeight="1" x14ac:dyDescent="0.2">
      <c r="B146" s="48"/>
      <c r="D146" s="49"/>
      <c r="E146" s="119"/>
      <c r="K146" s="47"/>
    </row>
    <row r="147" spans="2:11" ht="12.75" customHeight="1" x14ac:dyDescent="0.2">
      <c r="B147" s="48"/>
      <c r="D147" s="49"/>
      <c r="E147" s="119"/>
      <c r="K147" s="47"/>
    </row>
    <row r="148" spans="2:11" ht="12.75" customHeight="1" x14ac:dyDescent="0.2">
      <c r="B148" s="48"/>
      <c r="D148" s="49"/>
      <c r="E148" s="119"/>
      <c r="K148" s="47"/>
    </row>
    <row r="149" spans="2:11" ht="12.75" customHeight="1" x14ac:dyDescent="0.2">
      <c r="B149" s="48"/>
      <c r="D149" s="49"/>
      <c r="E149" s="119"/>
      <c r="K149" s="47"/>
    </row>
    <row r="150" spans="2:11" ht="12.75" customHeight="1" x14ac:dyDescent="0.2">
      <c r="B150" s="48"/>
      <c r="D150" s="49"/>
      <c r="E150" s="119"/>
      <c r="K150" s="47"/>
    </row>
    <row r="151" spans="2:11" ht="12.75" customHeight="1" x14ac:dyDescent="0.2">
      <c r="B151" s="48"/>
      <c r="D151" s="49"/>
      <c r="E151" s="119"/>
      <c r="K151" s="47"/>
    </row>
    <row r="152" spans="2:11" ht="12.75" customHeight="1" x14ac:dyDescent="0.2">
      <c r="B152" s="48"/>
      <c r="D152" s="49"/>
      <c r="E152" s="119"/>
      <c r="K152" s="47"/>
    </row>
    <row r="153" spans="2:11" ht="12.75" customHeight="1" x14ac:dyDescent="0.2">
      <c r="B153" s="48"/>
      <c r="D153" s="49"/>
      <c r="E153" s="119"/>
      <c r="K153" s="47"/>
    </row>
    <row r="154" spans="2:11" ht="12.75" customHeight="1" x14ac:dyDescent="0.2">
      <c r="B154" s="48"/>
      <c r="D154" s="49"/>
      <c r="E154" s="119"/>
      <c r="K154" s="47"/>
    </row>
    <row r="155" spans="2:11" ht="12.75" customHeight="1" x14ac:dyDescent="0.2">
      <c r="B155" s="48"/>
      <c r="D155" s="49"/>
      <c r="E155" s="119"/>
      <c r="K155" s="47"/>
    </row>
    <row r="156" spans="2:11" ht="12.75" customHeight="1" x14ac:dyDescent="0.2">
      <c r="B156" s="48"/>
      <c r="D156" s="49"/>
      <c r="E156" s="119"/>
      <c r="K156" s="47"/>
    </row>
    <row r="157" spans="2:11" ht="12.75" customHeight="1" x14ac:dyDescent="0.2">
      <c r="B157" s="48"/>
      <c r="D157" s="49"/>
      <c r="E157" s="119"/>
      <c r="K157" s="47"/>
    </row>
    <row r="158" spans="2:11" ht="12.75" customHeight="1" x14ac:dyDescent="0.2">
      <c r="B158" s="48"/>
      <c r="D158" s="49"/>
      <c r="E158" s="119"/>
      <c r="K158" s="47"/>
    </row>
    <row r="159" spans="2:11" ht="12.75" customHeight="1" x14ac:dyDescent="0.2">
      <c r="B159" s="48"/>
      <c r="D159" s="49"/>
      <c r="E159" s="119"/>
      <c r="K159" s="47"/>
    </row>
    <row r="160" spans="2:11" ht="12.75" customHeight="1" x14ac:dyDescent="0.2">
      <c r="B160" s="48"/>
      <c r="D160" s="49"/>
      <c r="E160" s="119"/>
      <c r="K160" s="47"/>
    </row>
    <row r="161" spans="2:23" ht="12.75" customHeight="1" x14ac:dyDescent="0.2">
      <c r="B161" s="48"/>
      <c r="D161" s="49"/>
      <c r="E161" s="119"/>
      <c r="K161" s="47"/>
    </row>
    <row r="162" spans="2:23" ht="12.75" customHeight="1" x14ac:dyDescent="0.2">
      <c r="B162" s="48"/>
      <c r="D162" s="49"/>
      <c r="E162" s="119"/>
      <c r="K162" s="47"/>
    </row>
    <row r="163" spans="2:23" ht="12.75" customHeight="1" x14ac:dyDescent="0.2">
      <c r="B163" s="48"/>
      <c r="D163" s="49"/>
    </row>
    <row r="164" spans="2:23" ht="12.75" customHeight="1" x14ac:dyDescent="0.2">
      <c r="B164" s="48"/>
      <c r="D164" s="49"/>
    </row>
    <row r="165" spans="2:23" ht="20.100000000000001" customHeight="1" thickBot="1" x14ac:dyDescent="0.3">
      <c r="B165" s="48"/>
      <c r="C165" s="50"/>
      <c r="D165" s="43"/>
      <c r="E165" s="43"/>
      <c r="F165" s="128" t="s">
        <v>113</v>
      </c>
      <c r="G165" s="129"/>
      <c r="H165" s="129"/>
      <c r="I165" s="129"/>
      <c r="J165" s="129"/>
      <c r="K165" s="129"/>
      <c r="L165" s="129"/>
      <c r="M165" s="130"/>
      <c r="N165" s="130"/>
      <c r="O165" s="130"/>
      <c r="P165" s="130"/>
      <c r="Q165" s="130"/>
      <c r="R165" s="128" t="s">
        <v>110</v>
      </c>
      <c r="S165" s="131"/>
      <c r="T165" s="131"/>
      <c r="U165" s="131"/>
      <c r="V165" s="131"/>
      <c r="W165" s="122" t="s">
        <v>121</v>
      </c>
    </row>
    <row r="166" spans="2:23" ht="12.75" customHeight="1" thickBot="1" x14ac:dyDescent="0.25">
      <c r="B166" s="48"/>
      <c r="C166" s="51" t="s">
        <v>47</v>
      </c>
      <c r="D166" s="52" t="s">
        <v>70</v>
      </c>
      <c r="E166" s="53" t="s">
        <v>101</v>
      </c>
      <c r="F166" s="54" t="s">
        <v>72</v>
      </c>
      <c r="G166" s="52" t="s">
        <v>71</v>
      </c>
      <c r="H166" s="52" t="s">
        <v>73</v>
      </c>
      <c r="I166" s="55" t="s">
        <v>75</v>
      </c>
      <c r="J166" s="56" t="s">
        <v>84</v>
      </c>
      <c r="K166" s="52" t="s">
        <v>74</v>
      </c>
      <c r="L166" s="57" t="s">
        <v>76</v>
      </c>
      <c r="M166" s="58" t="s">
        <v>77</v>
      </c>
      <c r="N166" s="58" t="s">
        <v>78</v>
      </c>
      <c r="O166" s="58" t="s">
        <v>79</v>
      </c>
      <c r="P166" s="59" t="s">
        <v>115</v>
      </c>
      <c r="Q166" s="60" t="s">
        <v>114</v>
      </c>
      <c r="R166" s="61" t="s">
        <v>111</v>
      </c>
      <c r="S166" s="58" t="s">
        <v>112</v>
      </c>
      <c r="T166" s="62" t="s">
        <v>107</v>
      </c>
      <c r="U166" s="62" t="s">
        <v>108</v>
      </c>
      <c r="V166" s="63" t="s">
        <v>109</v>
      </c>
      <c r="W166" s="123" t="s">
        <v>122</v>
      </c>
    </row>
    <row r="167" spans="2:23" ht="12.75" customHeight="1" x14ac:dyDescent="0.2">
      <c r="B167" s="48"/>
      <c r="C167" s="64">
        <v>10</v>
      </c>
      <c r="D167" s="65">
        <f>2*PI()*C167</f>
        <v>62.831853071795862</v>
      </c>
      <c r="E167" s="66" t="str">
        <f>COMPLEX(0,2*PI()*C167)</f>
        <v>62.8318530717959i</v>
      </c>
      <c r="F167" s="67" t="str">
        <f t="shared" ref="F167:F230" si="0">IMPRODUCT(IMDIV(COMPLEX(0,Sd*Dbl/Sp*D167),COMPLEX(Kbp,Dbl*D167)),IMSUM(IMDIV(IMPRODUCT(COMPLEX(Kbp,0),IMSUB(COMPLEX(1,0),IMDIV(COMPLEX(Kbp,0),COMPLEX(Kbp,Dbl*D167)))),IMSUB(Mp*D167^2,IMPRODUCT(COMPLEX(Kbp,0),IMSUB(COMPLEX(1,0),IMDIV(COMPLEX(Kbp,0),COMPLEX(Kbp,Dbl*D167)))))),COMPLEX(1,0)))</f>
        <v>-0.723312767201847+0.0387488982429472i</v>
      </c>
      <c r="G167" s="68" t="str">
        <f t="shared" ref="G167:G230" si="1">IMDIV(COMPLEX(Bl,0),IMPRODUCT(COMPLEX(Re,Le*D167),IMSUM(COMPLEX(Kd-Md*D167^2,0),IMPRODUCT(E167,IMSUM(COMPLEX(Dd,0),IMDIV(COMPLEX(Bl^2,0),COMPLEX(Re,Le*D167)))),IMPRODUCT(COMPLEX(Sd*Kbp/Sp,0),F167))))</f>
        <v>0.000634110448489629-0.000696016998033146i</v>
      </c>
      <c r="H167" s="68" t="str">
        <f t="shared" ref="H167:H230" si="2">IMPRODUCT(E167,G167)</f>
        <v>0.0437320377558911+0.039842334530791i</v>
      </c>
      <c r="I167" s="69">
        <f>1000*IMABS(G167)</f>
        <v>0.94156025958766476</v>
      </c>
      <c r="J167" s="70">
        <f t="shared" ref="J167:J198" si="3">IF(AND(I168&gt;I167,I168&gt;I169),I168,0)</f>
        <v>0</v>
      </c>
      <c r="K167" s="68" t="str">
        <f t="shared" ref="K167:K230" si="4">IMPRODUCT(E167,IMPRODUCT(IMDIV(COMPLEX(0,Sd*Kbp*Dbl/Sp*D167),IMPRODUCT(COMPLEX(Kbp,Dbl*D167),IMSUB(COMPLEX(Mp*D167^2,0),IMPRODUCT(COMPLEX(Kbp,0),IMSUB(COMPLEX(1,0),IMDIV(COMPLEX(Kbp,0),COMPLEX(Kbp,Dbl*D167))))))),G167))</f>
        <v>-0.298582090299752-0.244115108642583i</v>
      </c>
      <c r="L167" s="71">
        <f>IMABS(K167)</f>
        <v>0.38567272513797163</v>
      </c>
      <c r="M167" s="72">
        <f t="shared" ref="M167:M230" si="5">79.6+20*LOG10(IMABS(IMPRODUCT(COMPLEX(Sd*D167,0),H167)))</f>
        <v>58.009117500306637</v>
      </c>
      <c r="N167" s="72">
        <f t="shared" ref="N167:N230" si="6">79.6+20*LOG10(IMABS(IMPRODUCT(COMPLEX(Sp*D167,0),K167)))</f>
        <v>59.019721991565333</v>
      </c>
      <c r="O167" s="72">
        <f t="shared" ref="O167:O230" si="7">79.6+20*LOG10(IMABS(IMSUM(IMPRODUCT(COMPLEX(Sd*D167,0),H167),IMPRODUCT(COMPLEX(Sp*D167,0),K167))))</f>
        <v>40.667190938122715</v>
      </c>
      <c r="P167" s="73">
        <f>IMABS(IMDIV(COMPLEX(Re,D167*Le),IMSUB(COMPLEX(1,0),IMPRODUCT(COMPLEX(Bl,0),H167))))</f>
        <v>8.802342290857478</v>
      </c>
      <c r="Q167" s="74">
        <f t="shared" ref="Q167:Q230" si="8">180/PI()*IMARGUMENT(IMDIV(COMPLEX(Re,D167*Le),IMSUB(COMPLEX(1,0),IMPRODUCT(COMPLEX(Bl,0),H167))))</f>
        <v>38.785382716445575</v>
      </c>
      <c r="R167" s="75">
        <f t="shared" ref="R167:R198" si="9">MaxV*I167</f>
        <v>21.562659094205117</v>
      </c>
      <c r="S167" s="76">
        <f t="shared" ref="S167:S198" si="10">MaxV*L167</f>
        <v>8.8322859948709134</v>
      </c>
      <c r="T167" s="77">
        <f t="shared" ref="T167:T198" si="11">20*LOG10(MaxV)+M167</f>
        <v>85.206201436061406</v>
      </c>
      <c r="U167" s="78">
        <f t="shared" ref="U167:U198" si="12">20*LOG10(MaxV)+N167</f>
        <v>86.21680592732011</v>
      </c>
      <c r="V167" s="79">
        <f t="shared" ref="V167:V230" si="13">20*LOG10(MaxV)+O167</f>
        <v>67.864274873877491</v>
      </c>
      <c r="W167" s="124">
        <f t="shared" ref="W167:W230" si="14">IMABS(IMDIV(COMPLEX($E$56^2,0),IMDIV(COMPLEX(Re,D167*Le),IMSUB(COMPLEX(1,0),IMPRODUCT(COMPLEX(Bl,0),H167)))))</f>
        <v>59.581322784197745</v>
      </c>
    </row>
    <row r="168" spans="2:23" ht="12.75" customHeight="1" x14ac:dyDescent="0.2">
      <c r="B168" s="48"/>
      <c r="C168" s="80">
        <v>10.23</v>
      </c>
      <c r="D168" s="81">
        <f t="shared" ref="D168:D231" si="15">2*PI()*C168</f>
        <v>64.27698569244717</v>
      </c>
      <c r="E168" s="82" t="str">
        <f t="shared" ref="E168:E231" si="16">COMPLEX(0,2*PI()*C168)</f>
        <v>64.2769856924472i</v>
      </c>
      <c r="F168" s="83" t="str">
        <f t="shared" si="0"/>
        <v>-0.761268045101481+0.0419642771675566i</v>
      </c>
      <c r="G168" s="84" t="str">
        <f t="shared" si="1"/>
        <v>0.000616808885224587-0.000704218530009234i</v>
      </c>
      <c r="H168" s="84" t="str">
        <f t="shared" si="2"/>
        <v>0.0452650443777597+0.0396466158905551i</v>
      </c>
      <c r="I168" s="85">
        <f>1000*IMABS(G168)</f>
        <v>0.93615006216971663</v>
      </c>
      <c r="J168" s="70">
        <f t="shared" si="3"/>
        <v>0</v>
      </c>
      <c r="K168" s="84" t="str">
        <f t="shared" si="4"/>
        <v>-0.310648974663757-0.243222769890379i</v>
      </c>
      <c r="L168" s="86">
        <f t="shared" ref="L168:L231" si="17">IMABS(K168)</f>
        <v>0.39453783247337865</v>
      </c>
      <c r="M168" s="72">
        <f t="shared" si="5"/>
        <v>58.354089859055435</v>
      </c>
      <c r="N168" s="72">
        <f t="shared" si="6"/>
        <v>59.414629220940135</v>
      </c>
      <c r="O168" s="72">
        <f t="shared" si="7"/>
        <v>41.427057650883825</v>
      </c>
      <c r="P168" s="73">
        <f t="shared" ref="P168:P230" si="18">IMABS(IMDIV(COMPLEX(Re,D168*Le),IMSUB(COMPLEX(1,0),IMPRODUCT(COMPLEX(Bl,0),H168))))</f>
        <v>8.9877845053569487</v>
      </c>
      <c r="Q168" s="74">
        <f t="shared" si="8"/>
        <v>39.528334852672124</v>
      </c>
      <c r="R168" s="87">
        <f t="shared" si="9"/>
        <v>21.438760234447958</v>
      </c>
      <c r="S168" s="72">
        <f t="shared" si="10"/>
        <v>9.0353057011089728</v>
      </c>
      <c r="T168" s="88">
        <f t="shared" si="11"/>
        <v>85.551173794810211</v>
      </c>
      <c r="U168" s="88">
        <f t="shared" si="12"/>
        <v>86.611713156694904</v>
      </c>
      <c r="V168" s="89">
        <f t="shared" si="13"/>
        <v>68.624141586638586</v>
      </c>
      <c r="W168" s="125">
        <f t="shared" si="14"/>
        <v>58.351999536257871</v>
      </c>
    </row>
    <row r="169" spans="2:23" ht="12.75" customHeight="1" x14ac:dyDescent="0.2">
      <c r="B169" s="48"/>
      <c r="C169" s="80">
        <v>10.47</v>
      </c>
      <c r="D169" s="81">
        <f t="shared" si="15"/>
        <v>65.784950166170276</v>
      </c>
      <c r="E169" s="82" t="str">
        <f t="shared" si="16"/>
        <v>65.7849501661703i</v>
      </c>
      <c r="F169" s="83" t="str">
        <f t="shared" si="0"/>
        <v>-0.802271050945741+0.0455465588063142i</v>
      </c>
      <c r="G169" s="84" t="str">
        <f t="shared" si="1"/>
        <v>0.000598564134407458-0.00071225944861429i</v>
      </c>
      <c r="H169" s="84" t="str">
        <f t="shared" si="2"/>
        <v>0.046855952332475+0.0393765117532515i</v>
      </c>
      <c r="I169" s="85">
        <f t="shared" ref="I169:I232" si="19">1000*IMABS(G169)</f>
        <v>0.9303722615917146</v>
      </c>
      <c r="J169" s="70">
        <f t="shared" si="3"/>
        <v>0</v>
      </c>
      <c r="K169" s="84" t="str">
        <f t="shared" si="4"/>
        <v>-0.323352342993859-0.241841266315718i</v>
      </c>
      <c r="L169" s="86">
        <f t="shared" si="17"/>
        <v>0.40378699311989763</v>
      </c>
      <c r="M169" s="72">
        <f t="shared" si="5"/>
        <v>58.703157442611612</v>
      </c>
      <c r="N169" s="72">
        <f t="shared" si="6"/>
        <v>59.81732359894503</v>
      </c>
      <c r="O169" s="72">
        <f t="shared" si="7"/>
        <v>42.203107949277388</v>
      </c>
      <c r="P169" s="73">
        <f t="shared" si="18"/>
        <v>9.1934722551270198</v>
      </c>
      <c r="Q169" s="74">
        <f t="shared" si="8"/>
        <v>40.284991900076001</v>
      </c>
      <c r="R169" s="87">
        <f t="shared" si="9"/>
        <v>21.306442899567749</v>
      </c>
      <c r="S169" s="72">
        <f t="shared" si="10"/>
        <v>9.2471206071626391</v>
      </c>
      <c r="T169" s="88">
        <f t="shared" si="11"/>
        <v>85.900241378366388</v>
      </c>
      <c r="U169" s="88">
        <f t="shared" si="12"/>
        <v>87.014407534699799</v>
      </c>
      <c r="V169" s="89">
        <f t="shared" si="13"/>
        <v>69.400191885032157</v>
      </c>
      <c r="W169" s="125">
        <f t="shared" si="14"/>
        <v>57.046476318683126</v>
      </c>
    </row>
    <row r="170" spans="2:23" ht="12.75" customHeight="1" x14ac:dyDescent="0.2">
      <c r="B170" s="48"/>
      <c r="C170" s="80">
        <v>10.72</v>
      </c>
      <c r="D170" s="81">
        <f t="shared" si="15"/>
        <v>67.355746492965167</v>
      </c>
      <c r="E170" s="82" t="str">
        <f t="shared" si="16"/>
        <v>67.3557464929652i</v>
      </c>
      <c r="F170" s="83" t="str">
        <f t="shared" si="0"/>
        <v>-0.846546372840504+0.0495397664041734i</v>
      </c>
      <c r="G170" s="84" t="str">
        <f t="shared" si="1"/>
        <v>0.000579368081688702-0.000720066785613234i</v>
      </c>
      <c r="H170" s="84" t="str">
        <f t="shared" si="2"/>
        <v>0.0485006358697693+0.0390237696363398i</v>
      </c>
      <c r="I170" s="85">
        <f t="shared" si="19"/>
        <v>0.92420968931461733</v>
      </c>
      <c r="J170" s="70">
        <f t="shared" si="3"/>
        <v>0</v>
      </c>
      <c r="K170" s="84" t="str">
        <f t="shared" si="4"/>
        <v>-0.336692289722142-0.239904562036088i</v>
      </c>
      <c r="L170" s="86">
        <f t="shared" si="17"/>
        <v>0.41341975865222746</v>
      </c>
      <c r="M170" s="72">
        <f t="shared" si="5"/>
        <v>59.055356861338325</v>
      </c>
      <c r="N170" s="72">
        <f t="shared" si="6"/>
        <v>60.227063749918273</v>
      </c>
      <c r="O170" s="72">
        <f t="shared" si="7"/>
        <v>42.993946369547615</v>
      </c>
      <c r="P170" s="73">
        <f t="shared" si="18"/>
        <v>9.4220501306044415</v>
      </c>
      <c r="Q170" s="74">
        <f t="shared" si="8"/>
        <v>41.050950924102665</v>
      </c>
      <c r="R170" s="87">
        <f t="shared" si="9"/>
        <v>21.165313913078194</v>
      </c>
      <c r="S170" s="72">
        <f t="shared" si="10"/>
        <v>9.467720443650002</v>
      </c>
      <c r="T170" s="88">
        <f t="shared" si="11"/>
        <v>86.252440797093101</v>
      </c>
      <c r="U170" s="88">
        <f t="shared" si="12"/>
        <v>87.424147685673034</v>
      </c>
      <c r="V170" s="89">
        <f t="shared" si="13"/>
        <v>70.191030305302377</v>
      </c>
      <c r="W170" s="125">
        <f t="shared" si="14"/>
        <v>55.662535225221689</v>
      </c>
    </row>
    <row r="171" spans="2:23" ht="12.75" customHeight="1" x14ac:dyDescent="0.2">
      <c r="B171" s="48"/>
      <c r="C171" s="80">
        <v>10.96</v>
      </c>
      <c r="D171" s="81">
        <f t="shared" si="15"/>
        <v>68.863710966688274</v>
      </c>
      <c r="E171" s="82" t="str">
        <f t="shared" si="16"/>
        <v>68.8637109666883i</v>
      </c>
      <c r="F171" s="83" t="str">
        <f t="shared" si="0"/>
        <v>-0.890599309991389+0.053640057058928i</v>
      </c>
      <c r="G171" s="84" t="str">
        <f t="shared" si="1"/>
        <v>0.000560772487483433-0.00072700957912692i</v>
      </c>
      <c r="H171" s="84" t="str">
        <f t="shared" si="2"/>
        <v>0.0500645775270099+0.03861687449613i</v>
      </c>
      <c r="I171" s="85">
        <f t="shared" si="19"/>
        <v>0.91815505817953114</v>
      </c>
      <c r="J171" s="70">
        <f t="shared" si="3"/>
        <v>0</v>
      </c>
      <c r="K171" s="84" t="str">
        <f t="shared" si="4"/>
        <v>-0.349587423051124-0.237559485442985i</v>
      </c>
      <c r="L171" s="86">
        <f t="shared" si="17"/>
        <v>0.42266520495477428</v>
      </c>
      <c r="M171" s="72">
        <f t="shared" si="5"/>
        <v>59.382897889336057</v>
      </c>
      <c r="N171" s="72">
        <f t="shared" si="6"/>
        <v>60.61148448154411</v>
      </c>
      <c r="O171" s="72">
        <f t="shared" si="7"/>
        <v>43.736996505032053</v>
      </c>
      <c r="P171" s="73">
        <f t="shared" si="18"/>
        <v>9.6564111499427074</v>
      </c>
      <c r="Q171" s="74">
        <f t="shared" si="8"/>
        <v>41.762716864868167</v>
      </c>
      <c r="R171" s="87">
        <f t="shared" si="9"/>
        <v>21.026656885259076</v>
      </c>
      <c r="S171" s="72">
        <f t="shared" si="10"/>
        <v>9.6794502875613198</v>
      </c>
      <c r="T171" s="88">
        <f t="shared" si="11"/>
        <v>86.579981825090826</v>
      </c>
      <c r="U171" s="88">
        <f t="shared" si="12"/>
        <v>87.808568417298886</v>
      </c>
      <c r="V171" s="89">
        <f t="shared" si="13"/>
        <v>70.934080440786829</v>
      </c>
      <c r="W171" s="125">
        <f t="shared" si="14"/>
        <v>54.311605952247142</v>
      </c>
    </row>
    <row r="172" spans="2:23" ht="12.75" customHeight="1" x14ac:dyDescent="0.2">
      <c r="B172" s="48"/>
      <c r="C172" s="80">
        <v>11.22</v>
      </c>
      <c r="D172" s="81">
        <f t="shared" si="15"/>
        <v>70.497339146554964</v>
      </c>
      <c r="E172" s="82" t="str">
        <f t="shared" si="16"/>
        <v>70.497339146555i</v>
      </c>
      <c r="F172" s="83" t="str">
        <f t="shared" si="0"/>
        <v>-0.9400919341886+0.0583959627393529i</v>
      </c>
      <c r="G172" s="84" t="str">
        <f t="shared" si="1"/>
        <v>0.000540460771275067-0.000733913671996422i</v>
      </c>
      <c r="H172" s="84" t="str">
        <f t="shared" si="2"/>
        <v>0.0517389610390253+0.0381010462879871i</v>
      </c>
      <c r="I172" s="85">
        <f t="shared" si="19"/>
        <v>0.91144233126979135</v>
      </c>
      <c r="J172" s="70">
        <f t="shared" si="3"/>
        <v>0</v>
      </c>
      <c r="K172" s="84" t="str">
        <f t="shared" si="4"/>
        <v>-0.363638703104532-0.234472960754351i</v>
      </c>
      <c r="L172" s="86">
        <f t="shared" si="17"/>
        <v>0.43267849001360975</v>
      </c>
      <c r="M172" s="72">
        <f t="shared" si="5"/>
        <v>59.726453281876559</v>
      </c>
      <c r="N172" s="72">
        <f t="shared" si="6"/>
        <v>61.018506707245812</v>
      </c>
      <c r="O172" s="72">
        <f t="shared" si="7"/>
        <v>44.524844895180308</v>
      </c>
      <c r="P172" s="73">
        <f t="shared" si="18"/>
        <v>9.9282999697873553</v>
      </c>
      <c r="Q172" s="74">
        <f t="shared" si="8"/>
        <v>42.504909560593269</v>
      </c>
      <c r="R172" s="87">
        <f t="shared" si="9"/>
        <v>20.872928814778909</v>
      </c>
      <c r="S172" s="72">
        <f t="shared" si="10"/>
        <v>9.9087643967095982</v>
      </c>
      <c r="T172" s="88">
        <f t="shared" si="11"/>
        <v>86.923537217631321</v>
      </c>
      <c r="U172" s="88">
        <f t="shared" si="12"/>
        <v>88.215590643000581</v>
      </c>
      <c r="V172" s="89">
        <f t="shared" si="13"/>
        <v>71.72192883093507</v>
      </c>
      <c r="W172" s="125">
        <f t="shared" si="14"/>
        <v>52.824269903662746</v>
      </c>
    </row>
    <row r="173" spans="2:23" ht="12.75" customHeight="1" x14ac:dyDescent="0.2">
      <c r="B173" s="48"/>
      <c r="C173" s="80">
        <v>11.48</v>
      </c>
      <c r="D173" s="81">
        <f t="shared" si="15"/>
        <v>72.130967326421654</v>
      </c>
      <c r="E173" s="82" t="str">
        <f t="shared" si="16"/>
        <v>72.1309673264217i</v>
      </c>
      <c r="F173" s="83" t="str">
        <f t="shared" si="0"/>
        <v>-0.991487011626749+0.063499806526801i</v>
      </c>
      <c r="G173" s="84" t="str">
        <f t="shared" si="1"/>
        <v>0.000519995750997469-0.000740169150155314i</v>
      </c>
      <c r="H173" s="84" t="str">
        <f t="shared" si="2"/>
        <v>0.0533891167858783+0.0375077965250765i</v>
      </c>
      <c r="I173" s="85">
        <f t="shared" si="19"/>
        <v>0.90456948428357975</v>
      </c>
      <c r="J173" s="70">
        <f t="shared" si="3"/>
        <v>0</v>
      </c>
      <c r="K173" s="84" t="str">
        <f t="shared" si="4"/>
        <v>-0.377756788887575-0.230809414437851i</v>
      </c>
      <c r="L173" s="86">
        <f t="shared" si="17"/>
        <v>0.44268857828477526</v>
      </c>
      <c r="M173" s="72">
        <f t="shared" si="5"/>
        <v>60.058669277516657</v>
      </c>
      <c r="N173" s="72">
        <f t="shared" si="6"/>
        <v>61.416147561486355</v>
      </c>
      <c r="O173" s="72">
        <f t="shared" si="7"/>
        <v>45.295612566286664</v>
      </c>
      <c r="P173" s="73">
        <f t="shared" si="18"/>
        <v>10.220678994390772</v>
      </c>
      <c r="Q173" s="74">
        <f t="shared" si="8"/>
        <v>43.213646300156263</v>
      </c>
      <c r="R173" s="87">
        <f t="shared" si="9"/>
        <v>20.71553383653799</v>
      </c>
      <c r="S173" s="72">
        <f t="shared" si="10"/>
        <v>10.138005296265582</v>
      </c>
      <c r="T173" s="88">
        <f t="shared" si="11"/>
        <v>87.255753213271419</v>
      </c>
      <c r="U173" s="88">
        <f t="shared" si="12"/>
        <v>88.613231497241117</v>
      </c>
      <c r="V173" s="89">
        <f t="shared" si="13"/>
        <v>72.49269650204144</v>
      </c>
      <c r="W173" s="125">
        <f t="shared" si="14"/>
        <v>51.313146374756684</v>
      </c>
    </row>
    <row r="174" spans="2:23" ht="12.75" customHeight="1" x14ac:dyDescent="0.2">
      <c r="B174" s="48"/>
      <c r="C174" s="80">
        <v>11.75</v>
      </c>
      <c r="D174" s="81">
        <f t="shared" si="15"/>
        <v>73.827427359360144</v>
      </c>
      <c r="E174" s="82" t="str">
        <f t="shared" si="16"/>
        <v>73.8274273593601i</v>
      </c>
      <c r="F174" s="83" t="str">
        <f t="shared" si="0"/>
        <v>-1.04694586836381+0.0691936053244348i</v>
      </c>
      <c r="G174" s="84" t="str">
        <f t="shared" si="1"/>
        <v>0.000498603519923981-0.00074597194751228i</v>
      </c>
      <c r="H174" s="84" t="str">
        <f t="shared" si="2"/>
        <v>0.0550731897670832+0.036810615148309i</v>
      </c>
      <c r="I174" s="85">
        <f t="shared" si="19"/>
        <v>0.89726228972126509</v>
      </c>
      <c r="J174" s="70">
        <f t="shared" si="3"/>
        <v>0</v>
      </c>
      <c r="K174" s="84" t="str">
        <f t="shared" si="4"/>
        <v>-0.392468171259583-0.226384485260479i</v>
      </c>
      <c r="L174" s="86">
        <f t="shared" si="17"/>
        <v>0.45307968462345938</v>
      </c>
      <c r="M174" s="72">
        <f t="shared" si="5"/>
        <v>60.392058076091246</v>
      </c>
      <c r="N174" s="72">
        <f t="shared" si="6"/>
        <v>61.81959258351219</v>
      </c>
      <c r="O174" s="72">
        <f t="shared" si="7"/>
        <v>46.078695930494753</v>
      </c>
      <c r="P174" s="73">
        <f t="shared" si="18"/>
        <v>10.548191198262433</v>
      </c>
      <c r="Q174" s="74">
        <f t="shared" si="8"/>
        <v>43.909935899661868</v>
      </c>
      <c r="R174" s="87">
        <f t="shared" si="9"/>
        <v>20.548191870181824</v>
      </c>
      <c r="S174" s="72">
        <f t="shared" si="10"/>
        <v>10.375971885563651</v>
      </c>
      <c r="T174" s="88">
        <f t="shared" si="11"/>
        <v>87.589142011846008</v>
      </c>
      <c r="U174" s="88">
        <f t="shared" si="12"/>
        <v>89.016676519266952</v>
      </c>
      <c r="V174" s="89">
        <f t="shared" si="13"/>
        <v>73.275779866249522</v>
      </c>
      <c r="W174" s="125">
        <f t="shared" si="14"/>
        <v>49.719917607766341</v>
      </c>
    </row>
    <row r="175" spans="2:23" ht="12.75" customHeight="1" x14ac:dyDescent="0.2">
      <c r="B175" s="48"/>
      <c r="C175" s="80">
        <v>12.02</v>
      </c>
      <c r="D175" s="81">
        <f t="shared" si="15"/>
        <v>75.523887392298619</v>
      </c>
      <c r="E175" s="82" t="str">
        <f t="shared" si="16"/>
        <v>75.5238873922986i</v>
      </c>
      <c r="F175" s="83" t="str">
        <f t="shared" si="0"/>
        <v>-1.10461144101088+0.0753167348345387i</v>
      </c>
      <c r="G175" s="84" t="str">
        <f t="shared" si="1"/>
        <v>0.000477091772632098-0.000751062018245802i</v>
      </c>
      <c r="H175" s="84" t="str">
        <f t="shared" si="2"/>
        <v>0.0567231232906285+0.0360318253120587i</v>
      </c>
      <c r="I175" s="85">
        <f t="shared" si="19"/>
        <v>0.88978127355249226</v>
      </c>
      <c r="J175" s="70">
        <f t="shared" si="3"/>
        <v>0</v>
      </c>
      <c r="K175" s="84" t="str">
        <f t="shared" si="4"/>
        <v>-0.40720907022958-0.2213176973479i</v>
      </c>
      <c r="L175" s="86">
        <f t="shared" si="17"/>
        <v>0.46346601821127686</v>
      </c>
      <c r="M175" s="72">
        <f t="shared" si="5"/>
        <v>60.713999033525667</v>
      </c>
      <c r="N175" s="72">
        <f t="shared" si="6"/>
        <v>62.213790748834313</v>
      </c>
      <c r="O175" s="72">
        <f t="shared" si="7"/>
        <v>46.844847456494477</v>
      </c>
      <c r="P175" s="73">
        <f t="shared" si="18"/>
        <v>10.902617982947319</v>
      </c>
      <c r="Q175" s="74">
        <f t="shared" si="8"/>
        <v>44.560663198049816</v>
      </c>
      <c r="R175" s="87">
        <f t="shared" si="9"/>
        <v>20.376869217507288</v>
      </c>
      <c r="S175" s="72">
        <f t="shared" si="10"/>
        <v>10.613829174157029</v>
      </c>
      <c r="T175" s="88">
        <f t="shared" si="11"/>
        <v>87.911082969280443</v>
      </c>
      <c r="U175" s="88">
        <f t="shared" si="12"/>
        <v>89.410874684589089</v>
      </c>
      <c r="V175" s="89">
        <f t="shared" si="13"/>
        <v>74.041931392249239</v>
      </c>
      <c r="W175" s="125">
        <f t="shared" si="14"/>
        <v>48.103602098951761</v>
      </c>
    </row>
    <row r="176" spans="2:23" ht="12.75" customHeight="1" x14ac:dyDescent="0.2">
      <c r="B176" s="48"/>
      <c r="C176" s="80">
        <v>12.3</v>
      </c>
      <c r="D176" s="81">
        <f t="shared" si="15"/>
        <v>77.283179278308921</v>
      </c>
      <c r="E176" s="82" t="str">
        <f t="shared" si="16"/>
        <v>77.2831792783089i</v>
      </c>
      <c r="F176" s="83" t="str">
        <f t="shared" si="0"/>
        <v>-1.16683587043635+0.0821531961051123i</v>
      </c>
      <c r="G176" s="84" t="str">
        <f t="shared" si="1"/>
        <v>0.000454682579482859-0.00075558158234483i</v>
      </c>
      <c r="H176" s="84" t="str">
        <f t="shared" si="2"/>
        <v>0.0583937468877438+0.0351393153048977i</v>
      </c>
      <c r="I176" s="85">
        <f t="shared" si="19"/>
        <v>0.88183886037297277</v>
      </c>
      <c r="J176" s="70">
        <f t="shared" si="3"/>
        <v>0</v>
      </c>
      <c r="K176" s="84" t="str">
        <f t="shared" si="4"/>
        <v>-0.422502828905665-0.215375256519607i</v>
      </c>
      <c r="L176" s="86">
        <f t="shared" si="17"/>
        <v>0.47423110563751103</v>
      </c>
      <c r="M176" s="72">
        <f t="shared" si="5"/>
        <v>61.036144221664514</v>
      </c>
      <c r="N176" s="72">
        <f t="shared" si="6"/>
        <v>62.613246423421373</v>
      </c>
      <c r="O176" s="72">
        <f t="shared" si="7"/>
        <v>47.62222517667248</v>
      </c>
      <c r="P176" s="73">
        <f t="shared" si="18"/>
        <v>11.301779317708284</v>
      </c>
      <c r="Q176" s="74">
        <f t="shared" si="8"/>
        <v>45.180953062847692</v>
      </c>
      <c r="R176" s="87">
        <f t="shared" si="9"/>
        <v>20.194980117971269</v>
      </c>
      <c r="S176" s="72">
        <f t="shared" si="10"/>
        <v>10.860360299411674</v>
      </c>
      <c r="T176" s="88">
        <f t="shared" si="11"/>
        <v>88.23322815741929</v>
      </c>
      <c r="U176" s="88">
        <f t="shared" si="12"/>
        <v>89.810330359176135</v>
      </c>
      <c r="V176" s="89">
        <f t="shared" si="13"/>
        <v>74.819309112427248</v>
      </c>
      <c r="W176" s="125">
        <f t="shared" si="14"/>
        <v>46.404657403531807</v>
      </c>
    </row>
    <row r="177" spans="2:23" ht="12.75" customHeight="1" x14ac:dyDescent="0.2">
      <c r="B177" s="48"/>
      <c r="C177" s="90">
        <v>12.59</v>
      </c>
      <c r="D177" s="81">
        <f t="shared" si="15"/>
        <v>79.105303017390995</v>
      </c>
      <c r="E177" s="82" t="str">
        <f t="shared" si="16"/>
        <v>79.105303017391i</v>
      </c>
      <c r="F177" s="83" t="str">
        <f t="shared" si="0"/>
        <v>-1.23399141859381+0.0897955207030074i</v>
      </c>
      <c r="G177" s="84" t="str">
        <f t="shared" si="1"/>
        <v>0.000431393447360454-0.000759441783478775i</v>
      </c>
      <c r="H177" s="84" t="str">
        <f t="shared" si="2"/>
        <v>0.0600758724061563+0.0341255093731656i</v>
      </c>
      <c r="I177" s="85">
        <f t="shared" si="19"/>
        <v>0.87341406498805563</v>
      </c>
      <c r="J177" s="70">
        <f t="shared" si="3"/>
        <v>0</v>
      </c>
      <c r="K177" s="84" t="str">
        <f t="shared" si="4"/>
        <v>-0.438322622045423-0.208471600691124i</v>
      </c>
      <c r="L177" s="86">
        <f t="shared" si="17"/>
        <v>0.48537318559176112</v>
      </c>
      <c r="M177" s="72">
        <f t="shared" si="5"/>
        <v>61.357587931027368</v>
      </c>
      <c r="N177" s="72">
        <f t="shared" si="6"/>
        <v>63.017373664551798</v>
      </c>
      <c r="O177" s="72">
        <f t="shared" si="7"/>
        <v>48.409713580616113</v>
      </c>
      <c r="P177" s="73">
        <f t="shared" si="18"/>
        <v>11.75313155719269</v>
      </c>
      <c r="Q177" s="74">
        <f t="shared" si="8"/>
        <v>45.756605950116118</v>
      </c>
      <c r="R177" s="87">
        <f t="shared" si="9"/>
        <v>20.002043989907669</v>
      </c>
      <c r="S177" s="72">
        <f t="shared" si="10"/>
        <v>11.115524925581308</v>
      </c>
      <c r="T177" s="88">
        <f t="shared" si="11"/>
        <v>88.554671866782144</v>
      </c>
      <c r="U177" s="88">
        <f t="shared" si="12"/>
        <v>90.214457600306559</v>
      </c>
      <c r="V177" s="89">
        <f t="shared" si="13"/>
        <v>75.606797516370875</v>
      </c>
      <c r="W177" s="125">
        <f t="shared" si="14"/>
        <v>44.622592262878015</v>
      </c>
    </row>
    <row r="178" spans="2:23" ht="12.75" customHeight="1" x14ac:dyDescent="0.2">
      <c r="B178" s="48"/>
      <c r="C178" s="90">
        <v>12.88</v>
      </c>
      <c r="D178" s="81">
        <f t="shared" si="15"/>
        <v>80.927426756473082</v>
      </c>
      <c r="E178" s="82" t="str">
        <f t="shared" si="16"/>
        <v>80.9274267564731i</v>
      </c>
      <c r="F178" s="83" t="str">
        <f t="shared" si="0"/>
        <v>-1.30402310878278+0.0980541159266672i</v>
      </c>
      <c r="G178" s="84" t="str">
        <f t="shared" si="1"/>
        <v>0.000408053445777766-0.000762461348560093i</v>
      </c>
      <c r="H178" s="84" t="str">
        <f t="shared" si="2"/>
        <v>0.0617040349402386+0.0330227153459066i</v>
      </c>
      <c r="I178" s="85">
        <f t="shared" si="19"/>
        <v>0.86478605600413316</v>
      </c>
      <c r="J178" s="70">
        <f t="shared" si="3"/>
        <v>0</v>
      </c>
      <c r="K178" s="84" t="str">
        <f t="shared" si="4"/>
        <v>-0.454092184928229-0.200795472285869i</v>
      </c>
      <c r="L178" s="86">
        <f t="shared" si="17"/>
        <v>0.49650632836188319</v>
      </c>
      <c r="M178" s="72">
        <f t="shared" si="5"/>
        <v>61.66696318884614</v>
      </c>
      <c r="N178" s="72">
        <f t="shared" si="6"/>
        <v>63.41215648687065</v>
      </c>
      <c r="O178" s="72">
        <f t="shared" si="7"/>
        <v>49.179975401377838</v>
      </c>
      <c r="P178" s="73">
        <f t="shared" si="18"/>
        <v>12.247892589206836</v>
      </c>
      <c r="Q178" s="74">
        <f t="shared" si="8"/>
        <v>46.254167903153281</v>
      </c>
      <c r="R178" s="87">
        <f t="shared" si="9"/>
        <v>19.80445406989179</v>
      </c>
      <c r="S178" s="72">
        <f t="shared" si="10"/>
        <v>11.370484881415029</v>
      </c>
      <c r="T178" s="88">
        <f t="shared" si="11"/>
        <v>88.864047124600916</v>
      </c>
      <c r="U178" s="88">
        <f t="shared" si="12"/>
        <v>90.609240422625419</v>
      </c>
      <c r="V178" s="89">
        <f t="shared" si="13"/>
        <v>76.377059337132607</v>
      </c>
      <c r="W178" s="125">
        <f t="shared" si="14"/>
        <v>42.820035648478616</v>
      </c>
    </row>
    <row r="179" spans="2:23" ht="12.75" customHeight="1" x14ac:dyDescent="0.2">
      <c r="B179" s="48"/>
      <c r="C179" s="90">
        <v>13.18</v>
      </c>
      <c r="D179" s="81">
        <f t="shared" si="15"/>
        <v>82.81238234862694</v>
      </c>
      <c r="E179" s="82" t="str">
        <f t="shared" si="16"/>
        <v>82.8123823486269i</v>
      </c>
      <c r="F179" s="83" t="str">
        <f t="shared" si="0"/>
        <v>-1.37963407683015+0.107298563658059i</v>
      </c>
      <c r="G179" s="84" t="str">
        <f t="shared" si="1"/>
        <v>0.000383888039323671-0.000764695495212097i</v>
      </c>
      <c r="H179" s="84" t="str">
        <f t="shared" si="2"/>
        <v>0.0633262557297768+0.0317906830915366i</v>
      </c>
      <c r="I179" s="85">
        <f t="shared" si="19"/>
        <v>0.8556455031924417</v>
      </c>
      <c r="J179" s="70">
        <f t="shared" si="3"/>
        <v>0</v>
      </c>
      <c r="K179" s="84" t="str">
        <f t="shared" si="4"/>
        <v>-0.470319559781917-0.192031335088504i</v>
      </c>
      <c r="L179" s="86">
        <f t="shared" si="17"/>
        <v>0.5080123246234578</v>
      </c>
      <c r="M179" s="72">
        <f t="shared" si="5"/>
        <v>61.974648956851468</v>
      </c>
      <c r="N179" s="72">
        <f t="shared" si="6"/>
        <v>63.811136637854148</v>
      </c>
      <c r="O179" s="72">
        <f t="shared" si="7"/>
        <v>49.959410402977845</v>
      </c>
      <c r="P179" s="73">
        <f t="shared" si="18"/>
        <v>12.811385292240654</v>
      </c>
      <c r="Q179" s="74">
        <f t="shared" si="8"/>
        <v>46.673736969652012</v>
      </c>
      <c r="R179" s="87">
        <f t="shared" si="9"/>
        <v>19.595126390431957</v>
      </c>
      <c r="S179" s="72">
        <f t="shared" si="10"/>
        <v>11.633983550141958</v>
      </c>
      <c r="T179" s="88">
        <f t="shared" si="11"/>
        <v>89.171732892606229</v>
      </c>
      <c r="U179" s="88">
        <f t="shared" si="12"/>
        <v>91.008220573608924</v>
      </c>
      <c r="V179" s="89">
        <f t="shared" si="13"/>
        <v>77.156494338732614</v>
      </c>
      <c r="W179" s="125">
        <f t="shared" si="14"/>
        <v>40.936650122154653</v>
      </c>
    </row>
    <row r="180" spans="2:23" ht="12.75" customHeight="1" x14ac:dyDescent="0.2">
      <c r="B180" s="48"/>
      <c r="C180" s="90">
        <v>13.49</v>
      </c>
      <c r="D180" s="81">
        <f t="shared" si="15"/>
        <v>84.760169793852626</v>
      </c>
      <c r="E180" s="82" t="str">
        <f t="shared" si="16"/>
        <v>84.7601697938526i</v>
      </c>
      <c r="F180" s="83" t="str">
        <f t="shared" si="0"/>
        <v>-1.46130728964228+0.117663085883483i</v>
      </c>
      <c r="G180" s="84" t="str">
        <f t="shared" si="1"/>
        <v>0.000358931705998479-0.000766049479157994i</v>
      </c>
      <c r="H180" s="84" t="str">
        <f t="shared" si="2"/>
        <v>0.0649304839239239+0.0304231123448283i</v>
      </c>
      <c r="I180" s="85">
        <f t="shared" si="19"/>
        <v>0.84596913305936428</v>
      </c>
      <c r="J180" s="70">
        <f t="shared" si="3"/>
        <v>0</v>
      </c>
      <c r="K180" s="84" t="str">
        <f t="shared" si="4"/>
        <v>-0.486958519546005-0.182084938204984i</v>
      </c>
      <c r="L180" s="86">
        <f t="shared" si="17"/>
        <v>0.51988799224405036</v>
      </c>
      <c r="M180" s="72">
        <f t="shared" si="5"/>
        <v>62.279723431724776</v>
      </c>
      <c r="N180" s="72">
        <f t="shared" si="6"/>
        <v>64.21377818865156</v>
      </c>
      <c r="O180" s="72">
        <f t="shared" si="7"/>
        <v>50.747005118466511</v>
      </c>
      <c r="P180" s="73">
        <f t="shared" si="18"/>
        <v>13.456469630527428</v>
      </c>
      <c r="Q180" s="74">
        <f t="shared" si="8"/>
        <v>46.988609922643519</v>
      </c>
      <c r="R180" s="87">
        <f t="shared" si="9"/>
        <v>19.373527965557624</v>
      </c>
      <c r="S180" s="72">
        <f t="shared" si="10"/>
        <v>11.905948057789155</v>
      </c>
      <c r="T180" s="88">
        <f t="shared" si="11"/>
        <v>89.476807367479552</v>
      </c>
      <c r="U180" s="88">
        <f t="shared" si="12"/>
        <v>91.410862124406322</v>
      </c>
      <c r="V180" s="89">
        <f t="shared" si="13"/>
        <v>77.94408905422128</v>
      </c>
      <c r="W180" s="125">
        <f t="shared" si="14"/>
        <v>38.974204355858085</v>
      </c>
    </row>
    <row r="181" spans="2:23" ht="12.75" customHeight="1" x14ac:dyDescent="0.2">
      <c r="B181" s="48"/>
      <c r="C181" s="90">
        <v>13.8</v>
      </c>
      <c r="D181" s="81">
        <f t="shared" si="15"/>
        <v>86.707957239078297</v>
      </c>
      <c r="E181" s="82" t="str">
        <f t="shared" si="16"/>
        <v>86.7079572390783i</v>
      </c>
      <c r="F181" s="83" t="str">
        <f t="shared" si="0"/>
        <v>-1.54676005753019+0.128924698569229i</v>
      </c>
      <c r="G181" s="84" t="str">
        <f t="shared" si="1"/>
        <v>0.000334028794622993-0.00076642992336525i</v>
      </c>
      <c r="H181" s="84" t="str">
        <f t="shared" si="2"/>
        <v>0.0664555730219042+0.0289629544407913i</v>
      </c>
      <c r="I181" s="85">
        <f t="shared" si="19"/>
        <v>0.83605625592238275</v>
      </c>
      <c r="J181" s="70">
        <f t="shared" si="3"/>
        <v>0</v>
      </c>
      <c r="K181" s="84" t="str">
        <f t="shared" si="4"/>
        <v>-0.503425643296382-0.171223895826973i</v>
      </c>
      <c r="L181" s="86">
        <f t="shared" si="17"/>
        <v>0.5317471211304694</v>
      </c>
      <c r="M181" s="72">
        <f t="shared" si="5"/>
        <v>62.572028575088282</v>
      </c>
      <c r="N181" s="72">
        <f t="shared" si="6"/>
        <v>64.607028134991523</v>
      </c>
      <c r="O181" s="72">
        <f t="shared" si="7"/>
        <v>51.517217427821052</v>
      </c>
      <c r="P181" s="73">
        <f t="shared" si="18"/>
        <v>14.174581406975074</v>
      </c>
      <c r="Q181" s="74">
        <f t="shared" si="8"/>
        <v>47.161426657151658</v>
      </c>
      <c r="R181" s="87">
        <f t="shared" si="9"/>
        <v>19.146513296904256</v>
      </c>
      <c r="S181" s="72">
        <f t="shared" si="10"/>
        <v>12.177533812103041</v>
      </c>
      <c r="T181" s="88">
        <f t="shared" si="11"/>
        <v>89.769112510843058</v>
      </c>
      <c r="U181" s="88">
        <f t="shared" si="12"/>
        <v>91.804112070746299</v>
      </c>
      <c r="V181" s="89">
        <f t="shared" si="13"/>
        <v>78.714301363575828</v>
      </c>
      <c r="W181" s="125">
        <f t="shared" si="14"/>
        <v>36.999695598100637</v>
      </c>
    </row>
    <row r="182" spans="2:23" ht="12.75" customHeight="1" x14ac:dyDescent="0.2">
      <c r="B182" s="48"/>
      <c r="C182" s="90">
        <v>14.13</v>
      </c>
      <c r="D182" s="81">
        <f t="shared" si="15"/>
        <v>88.781408390447552</v>
      </c>
      <c r="E182" s="82" t="str">
        <f t="shared" si="16"/>
        <v>88.7814083904476i</v>
      </c>
      <c r="F182" s="83" t="str">
        <f t="shared" si="0"/>
        <v>-1.64209840384307+0.141988673304571i</v>
      </c>
      <c r="G182" s="84" t="str">
        <f t="shared" si="1"/>
        <v>0.000307622451898326-0.000765762884602012i</v>
      </c>
      <c r="H182" s="84" t="str">
        <f t="shared" si="2"/>
        <v>0.0679855073880984+0.0273111545320561i</v>
      </c>
      <c r="I182" s="85">
        <f t="shared" si="19"/>
        <v>0.82524200592670516</v>
      </c>
      <c r="J182" s="70">
        <f t="shared" si="3"/>
        <v>0</v>
      </c>
      <c r="K182" s="84" t="str">
        <f t="shared" si="4"/>
        <v>-0.520718747954077-0.158647099797722i</v>
      </c>
      <c r="L182" s="86">
        <f t="shared" si="17"/>
        <v>0.5443499947139615</v>
      </c>
      <c r="M182" s="72">
        <f t="shared" si="5"/>
        <v>62.869468095676126</v>
      </c>
      <c r="N182" s="72">
        <f t="shared" si="6"/>
        <v>65.015751158346973</v>
      </c>
      <c r="O182" s="72">
        <f t="shared" si="7"/>
        <v>52.318792157538482</v>
      </c>
      <c r="P182" s="73">
        <f t="shared" si="18"/>
        <v>15.031400241497774</v>
      </c>
      <c r="Q182" s="74">
        <f t="shared" si="8"/>
        <v>47.159491022893747</v>
      </c>
      <c r="R182" s="87">
        <f t="shared" si="9"/>
        <v>18.898856300294796</v>
      </c>
      <c r="S182" s="72">
        <f t="shared" si="10"/>
        <v>12.466152053921373</v>
      </c>
      <c r="T182" s="88">
        <f t="shared" si="11"/>
        <v>90.066552031430888</v>
      </c>
      <c r="U182" s="88">
        <f t="shared" si="12"/>
        <v>92.212835094101735</v>
      </c>
      <c r="V182" s="89">
        <f t="shared" si="13"/>
        <v>79.515876093293258</v>
      </c>
      <c r="W182" s="125">
        <f t="shared" si="14"/>
        <v>34.890641514600233</v>
      </c>
    </row>
    <row r="183" spans="2:23" ht="12.75" customHeight="1" x14ac:dyDescent="0.2">
      <c r="B183" s="48"/>
      <c r="C183" s="90">
        <v>14.45</v>
      </c>
      <c r="D183" s="81">
        <f t="shared" si="15"/>
        <v>90.792027688745023</v>
      </c>
      <c r="E183" s="82" t="str">
        <f t="shared" si="16"/>
        <v>90.792027688745i</v>
      </c>
      <c r="F183" s="83" t="str">
        <f t="shared" si="0"/>
        <v>-1.73908932343607+0.15581554821463i</v>
      </c>
      <c r="G183" s="84" t="str">
        <f t="shared" si="1"/>
        <v>0.000282162965462271-0.000764059554317953i</v>
      </c>
      <c r="H183" s="84" t="str">
        <f t="shared" si="2"/>
        <v>0.0693705162114857+0.0256181477729889i</v>
      </c>
      <c r="I183" s="85">
        <f t="shared" si="19"/>
        <v>0.81449551356837546</v>
      </c>
      <c r="J183" s="70">
        <f t="shared" si="3"/>
        <v>0</v>
      </c>
      <c r="K183" s="84" t="str">
        <f t="shared" si="4"/>
        <v>-0.537205765542667-0.145443268343578i</v>
      </c>
      <c r="L183" s="86">
        <f t="shared" si="17"/>
        <v>0.55654629532388855</v>
      </c>
      <c r="M183" s="72">
        <f t="shared" si="5"/>
        <v>63.144642913822963</v>
      </c>
      <c r="N183" s="72">
        <f t="shared" si="6"/>
        <v>65.40272632635552</v>
      </c>
      <c r="O183" s="72">
        <f t="shared" si="7"/>
        <v>53.078739933562076</v>
      </c>
      <c r="P183" s="73">
        <f t="shared" si="18"/>
        <v>15.967172844491282</v>
      </c>
      <c r="Q183" s="74">
        <f t="shared" si="8"/>
        <v>46.937882001068104</v>
      </c>
      <c r="R183" s="87">
        <f t="shared" si="9"/>
        <v>18.65275102044513</v>
      </c>
      <c r="S183" s="72">
        <f t="shared" si="10"/>
        <v>12.745459373431089</v>
      </c>
      <c r="T183" s="88">
        <f t="shared" si="11"/>
        <v>90.341726849577725</v>
      </c>
      <c r="U183" s="88">
        <f t="shared" si="12"/>
        <v>92.599810262110282</v>
      </c>
      <c r="V183" s="89">
        <f t="shared" si="13"/>
        <v>80.275823869316838</v>
      </c>
      <c r="W183" s="125">
        <f t="shared" si="14"/>
        <v>32.845839548202292</v>
      </c>
    </row>
    <row r="184" spans="2:23" ht="12.75" customHeight="1" x14ac:dyDescent="0.2">
      <c r="B184" s="48"/>
      <c r="C184" s="90">
        <v>14.79</v>
      </c>
      <c r="D184" s="81">
        <f t="shared" si="15"/>
        <v>92.928310693186077</v>
      </c>
      <c r="E184" s="82" t="str">
        <f t="shared" si="16"/>
        <v>92.9283106931861i</v>
      </c>
      <c r="F184" s="83" t="str">
        <f t="shared" si="0"/>
        <v>-1.84732506496648+0.171879639883928i</v>
      </c>
      <c r="G184" s="84" t="str">
        <f t="shared" si="1"/>
        <v>0.000255321416785768-0.00076111096302409i</v>
      </c>
      <c r="H184" s="84" t="str">
        <f t="shared" si="2"/>
        <v>0.0707287560438927+0.0237265879456923i</v>
      </c>
      <c r="I184" s="85">
        <f t="shared" si="19"/>
        <v>0.80279444685731938</v>
      </c>
      <c r="J184" s="70">
        <f t="shared" si="3"/>
        <v>0</v>
      </c>
      <c r="K184" s="84" t="str">
        <f t="shared" si="4"/>
        <v>-0.554361965058739-0.130318937744842i</v>
      </c>
      <c r="L184" s="86">
        <f t="shared" si="17"/>
        <v>0.56947362874739915</v>
      </c>
      <c r="M184" s="72">
        <f t="shared" si="5"/>
        <v>63.422969254791795</v>
      </c>
      <c r="N184" s="72">
        <f t="shared" si="6"/>
        <v>65.804179290939047</v>
      </c>
      <c r="O184" s="72">
        <f t="shared" si="7"/>
        <v>53.868217789621937</v>
      </c>
      <c r="P184" s="73">
        <f t="shared" si="18"/>
        <v>17.092244555485642</v>
      </c>
      <c r="Q184" s="74">
        <f t="shared" si="8"/>
        <v>46.41453670892195</v>
      </c>
      <c r="R184" s="87">
        <f t="shared" si="9"/>
        <v>18.384785045925831</v>
      </c>
      <c r="S184" s="72">
        <f t="shared" si="10"/>
        <v>13.041508065769012</v>
      </c>
      <c r="T184" s="88">
        <f t="shared" si="11"/>
        <v>90.620053190546571</v>
      </c>
      <c r="U184" s="88">
        <f t="shared" si="12"/>
        <v>93.001263226693823</v>
      </c>
      <c r="V184" s="89">
        <f t="shared" si="13"/>
        <v>81.065301725376713</v>
      </c>
      <c r="W184" s="125">
        <f t="shared" si="14"/>
        <v>30.683810753237378</v>
      </c>
    </row>
    <row r="185" spans="2:23" ht="12.75" customHeight="1" x14ac:dyDescent="0.2">
      <c r="B185" s="48"/>
      <c r="C185" s="90">
        <v>15.14</v>
      </c>
      <c r="D185" s="81">
        <f t="shared" si="15"/>
        <v>95.127425550698945</v>
      </c>
      <c r="E185" s="82" t="str">
        <f t="shared" si="16"/>
        <v>95.1274255506989i</v>
      </c>
      <c r="F185" s="83" t="str">
        <f t="shared" si="0"/>
        <v>-1.96465950169634+0.190044812125967i</v>
      </c>
      <c r="G185" s="84" t="str">
        <f t="shared" si="1"/>
        <v>0.000227972385581086-0.000756853310861066i</v>
      </c>
      <c r="H185" s="84" t="str">
        <f t="shared" si="2"/>
        <v>0.071997506981736+0.02168642613698i</v>
      </c>
      <c r="I185" s="85">
        <f t="shared" si="19"/>
        <v>0.79044186550870943</v>
      </c>
      <c r="J185" s="70">
        <f t="shared" si="3"/>
        <v>0</v>
      </c>
      <c r="K185" s="84" t="str">
        <f t="shared" si="4"/>
        <v>-0.571568840857853-0.113564989346347i</v>
      </c>
      <c r="L185" s="86">
        <f t="shared" si="17"/>
        <v>0.58274174952960567</v>
      </c>
      <c r="M185" s="72">
        <f t="shared" si="5"/>
        <v>63.694588796800751</v>
      </c>
      <c r="N185" s="72">
        <f t="shared" si="6"/>
        <v>66.207383633586431</v>
      </c>
      <c r="O185" s="72">
        <f t="shared" si="7"/>
        <v>54.662328392680763</v>
      </c>
      <c r="P185" s="73">
        <f t="shared" si="18"/>
        <v>18.412417358249055</v>
      </c>
      <c r="Q185" s="74">
        <f t="shared" si="8"/>
        <v>45.495825922177374</v>
      </c>
      <c r="R185" s="87">
        <f t="shared" si="9"/>
        <v>18.10189874327946</v>
      </c>
      <c r="S185" s="72">
        <f t="shared" si="10"/>
        <v>13.345361124916543</v>
      </c>
      <c r="T185" s="88">
        <f t="shared" si="11"/>
        <v>90.89167273255552</v>
      </c>
      <c r="U185" s="88">
        <f t="shared" si="12"/>
        <v>93.404467569341193</v>
      </c>
      <c r="V185" s="89">
        <f t="shared" si="13"/>
        <v>81.859412328435525</v>
      </c>
      <c r="W185" s="125">
        <f t="shared" si="14"/>
        <v>28.483777392413366</v>
      </c>
    </row>
    <row r="186" spans="2:23" ht="12.75" customHeight="1" x14ac:dyDescent="0.2">
      <c r="B186" s="48"/>
      <c r="C186" s="90">
        <v>15.49</v>
      </c>
      <c r="D186" s="81">
        <f t="shared" si="15"/>
        <v>97.326540408211798</v>
      </c>
      <c r="E186" s="82" t="str">
        <f t="shared" si="16"/>
        <v>97.3265404082118i</v>
      </c>
      <c r="F186" s="83" t="str">
        <f t="shared" si="0"/>
        <v>-2.08837849557039+0.210039267841233i</v>
      </c>
      <c r="G186" s="84" t="str">
        <f t="shared" si="1"/>
        <v>0.000200969871011174-0.000751361398828943i</v>
      </c>
      <c r="H186" s="84" t="str">
        <f t="shared" si="2"/>
        <v>0.0731274055442957+0.0195597022718021i</v>
      </c>
      <c r="I186" s="85">
        <f t="shared" si="19"/>
        <v>0.7777742864767605</v>
      </c>
      <c r="J186" s="70">
        <f t="shared" si="3"/>
        <v>0</v>
      </c>
      <c r="K186" s="84" t="str">
        <f t="shared" si="4"/>
        <v>-0.588244341183197-0.0956054923544806i</v>
      </c>
      <c r="L186" s="86">
        <f t="shared" si="17"/>
        <v>0.595962930980104</v>
      </c>
      <c r="M186" s="72">
        <f t="shared" si="5"/>
        <v>63.951283433430334</v>
      </c>
      <c r="N186" s="72">
        <f t="shared" si="6"/>
        <v>66.600756763221938</v>
      </c>
      <c r="O186" s="72">
        <f t="shared" si="7"/>
        <v>55.438304199165309</v>
      </c>
      <c r="P186" s="73">
        <f t="shared" si="18"/>
        <v>19.9194120789079</v>
      </c>
      <c r="Q186" s="74">
        <f t="shared" si="8"/>
        <v>44.099500832331486</v>
      </c>
      <c r="R186" s="87">
        <f t="shared" si="9"/>
        <v>17.811798682838894</v>
      </c>
      <c r="S186" s="72">
        <f t="shared" si="10"/>
        <v>13.648139227047331</v>
      </c>
      <c r="T186" s="88">
        <f t="shared" si="11"/>
        <v>91.14836736918511</v>
      </c>
      <c r="U186" s="88">
        <f t="shared" si="12"/>
        <v>93.7978406989767</v>
      </c>
      <c r="V186" s="89">
        <f t="shared" si="13"/>
        <v>82.635388134920078</v>
      </c>
      <c r="W186" s="125">
        <f t="shared" si="14"/>
        <v>26.328849225620704</v>
      </c>
    </row>
    <row r="187" spans="2:23" ht="12.75" customHeight="1" x14ac:dyDescent="0.2">
      <c r="B187" s="48"/>
      <c r="C187" s="90">
        <v>15.85</v>
      </c>
      <c r="D187" s="81">
        <f t="shared" si="15"/>
        <v>99.588487118796436</v>
      </c>
      <c r="E187" s="82" t="str">
        <f t="shared" si="16"/>
        <v>99.5884871187964i</v>
      </c>
      <c r="F187" s="83" t="str">
        <f t="shared" si="0"/>
        <v>-2.22273853745692+0.232726094090316i</v>
      </c>
      <c r="G187" s="84" t="str">
        <f t="shared" si="1"/>
        <v>0.000173622791879659-0.000744433869989196i</v>
      </c>
      <c r="H187" s="84" t="str">
        <f t="shared" si="2"/>
        <v>0.0741370428722148+0.0172908311726369i</v>
      </c>
      <c r="I187" s="85">
        <f t="shared" si="19"/>
        <v>0.76441262459955395</v>
      </c>
      <c r="J187" s="70">
        <f t="shared" si="3"/>
        <v>0</v>
      </c>
      <c r="K187" s="84" t="str">
        <f t="shared" si="4"/>
        <v>-0.604763350666426-0.0758747132096936i</v>
      </c>
      <c r="L187" s="86">
        <f t="shared" si="17"/>
        <v>0.60950445643484497</v>
      </c>
      <c r="M187" s="72">
        <f t="shared" si="5"/>
        <v>64.199882783163716</v>
      </c>
      <c r="N187" s="72">
        <f t="shared" si="6"/>
        <v>66.995466498488014</v>
      </c>
      <c r="O187" s="72">
        <f t="shared" si="7"/>
        <v>56.218236962232552</v>
      </c>
      <c r="P187" s="73">
        <f t="shared" si="18"/>
        <v>21.684067261853649</v>
      </c>
      <c r="Q187" s="74">
        <f t="shared" si="8"/>
        <v>42.04254426686316</v>
      </c>
      <c r="R187" s="87">
        <f t="shared" si="9"/>
        <v>17.505803440307723</v>
      </c>
      <c r="S187" s="72">
        <f t="shared" si="10"/>
        <v>13.958253522996856</v>
      </c>
      <c r="T187" s="88">
        <f t="shared" si="11"/>
        <v>91.396966718918492</v>
      </c>
      <c r="U187" s="88">
        <f t="shared" si="12"/>
        <v>94.192550434242776</v>
      </c>
      <c r="V187" s="89">
        <f t="shared" si="13"/>
        <v>83.415320897987328</v>
      </c>
      <c r="W187" s="125">
        <f t="shared" si="14"/>
        <v>24.186200446407433</v>
      </c>
    </row>
    <row r="188" spans="2:23" ht="12.75" customHeight="1" x14ac:dyDescent="0.2">
      <c r="B188" s="48"/>
      <c r="C188" s="90">
        <v>16.22</v>
      </c>
      <c r="D188" s="81">
        <f t="shared" si="15"/>
        <v>101.91326568245289</v>
      </c>
      <c r="E188" s="82" t="str">
        <f t="shared" si="16"/>
        <v>101.913265682453i</v>
      </c>
      <c r="F188" s="83" t="str">
        <f t="shared" si="0"/>
        <v>-2.3688657469298+0.258544530121383i</v>
      </c>
      <c r="G188" s="84" t="str">
        <f t="shared" si="1"/>
        <v>0.000146038927891142-0.00073597559854527i</v>
      </c>
      <c r="H188" s="84" t="str">
        <f t="shared" si="2"/>
        <v>0.0750056767103465+0.0148833040581505i</v>
      </c>
      <c r="I188" s="85">
        <f t="shared" si="19"/>
        <v>0.75032489637067401</v>
      </c>
      <c r="J188" s="70">
        <f t="shared" si="3"/>
        <v>0</v>
      </c>
      <c r="K188" s="84" t="str">
        <f t="shared" si="4"/>
        <v>-0.620984192822324-0.0542700383927325i</v>
      </c>
      <c r="L188" s="86">
        <f t="shared" si="17"/>
        <v>0.62335110876803768</v>
      </c>
      <c r="M188" s="72">
        <f t="shared" si="5"/>
        <v>64.439176234453399</v>
      </c>
      <c r="N188" s="72">
        <f t="shared" si="6"/>
        <v>67.391015184163152</v>
      </c>
      <c r="O188" s="72">
        <f t="shared" si="7"/>
        <v>57.001283200699653</v>
      </c>
      <c r="P188" s="73">
        <f t="shared" si="18"/>
        <v>23.73043416553174</v>
      </c>
      <c r="Q188" s="74">
        <f t="shared" si="8"/>
        <v>39.11190647829428</v>
      </c>
      <c r="R188" s="87">
        <f t="shared" si="9"/>
        <v>17.183180561827083</v>
      </c>
      <c r="S188" s="72">
        <f t="shared" si="10"/>
        <v>14.275355525567957</v>
      </c>
      <c r="T188" s="88">
        <f t="shared" si="11"/>
        <v>91.636260170208175</v>
      </c>
      <c r="U188" s="88">
        <f t="shared" si="12"/>
        <v>94.588099119917928</v>
      </c>
      <c r="V188" s="89">
        <f t="shared" si="13"/>
        <v>84.198367136454422</v>
      </c>
      <c r="W188" s="125">
        <f t="shared" si="14"/>
        <v>22.100531057722552</v>
      </c>
    </row>
    <row r="189" spans="2:23" ht="12.75" customHeight="1" x14ac:dyDescent="0.2">
      <c r="B189" s="48"/>
      <c r="C189" s="90">
        <v>16.600000000000001</v>
      </c>
      <c r="D189" s="81">
        <f t="shared" si="15"/>
        <v>104.30087609918114</v>
      </c>
      <c r="E189" s="82" t="str">
        <f t="shared" si="16"/>
        <v>104.300876099181i</v>
      </c>
      <c r="F189" s="83" t="str">
        <f t="shared" si="0"/>
        <v>-2.52804744777947+0.288022097283542i</v>
      </c>
      <c r="G189" s="84" t="str">
        <f t="shared" si="1"/>
        <v>0.000118340385302849-0.000725894539121496i</v>
      </c>
      <c r="H189" s="84" t="str">
        <f t="shared" si="2"/>
        <v>0.0757114363859832+0.0123430058650018i</v>
      </c>
      <c r="I189" s="85">
        <f t="shared" si="19"/>
        <v>0.73547761945557244</v>
      </c>
      <c r="J189" s="70">
        <f t="shared" si="3"/>
        <v>0</v>
      </c>
      <c r="K189" s="84" t="str">
        <f t="shared" si="4"/>
        <v>-0.636744976641712-0.0306917694906134i</v>
      </c>
      <c r="L189" s="86">
        <f t="shared" si="17"/>
        <v>0.63748423509363683</v>
      </c>
      <c r="M189" s="72">
        <f t="shared" si="5"/>
        <v>64.667867856747634</v>
      </c>
      <c r="N189" s="72">
        <f t="shared" si="6"/>
        <v>67.78689420519683</v>
      </c>
      <c r="O189" s="72">
        <f t="shared" si="7"/>
        <v>57.78660572341181</v>
      </c>
      <c r="P189" s="73">
        <f t="shared" si="18"/>
        <v>26.044088623705253</v>
      </c>
      <c r="Q189" s="74">
        <f t="shared" si="8"/>
        <v>35.041690765580377</v>
      </c>
      <c r="R189" s="87">
        <f t="shared" si="9"/>
        <v>16.84316326889482</v>
      </c>
      <c r="S189" s="72">
        <f t="shared" si="10"/>
        <v>14.599018065263172</v>
      </c>
      <c r="T189" s="88">
        <f t="shared" si="11"/>
        <v>91.86495179250241</v>
      </c>
      <c r="U189" s="88">
        <f t="shared" si="12"/>
        <v>94.983978140951592</v>
      </c>
      <c r="V189" s="89">
        <f t="shared" si="13"/>
        <v>84.983689659166572</v>
      </c>
      <c r="W189" s="125">
        <f t="shared" si="14"/>
        <v>20.137206752215409</v>
      </c>
    </row>
    <row r="190" spans="2:23" ht="12.75" customHeight="1" x14ac:dyDescent="0.2">
      <c r="B190" s="48"/>
      <c r="C190" s="90">
        <v>16.98</v>
      </c>
      <c r="D190" s="81">
        <f t="shared" si="15"/>
        <v>106.68848651590937</v>
      </c>
      <c r="E190" s="82" t="str">
        <f t="shared" si="16"/>
        <v>106.688486515909i</v>
      </c>
      <c r="F190" s="83" t="str">
        <f t="shared" si="0"/>
        <v>-2.6971695996412+0.320881855247937i</v>
      </c>
      <c r="G190" s="84" t="str">
        <f t="shared" si="1"/>
        <v>0.0000913641165161982-0.000714423701279107i</v>
      </c>
      <c r="H190" s="84" t="str">
        <f t="shared" si="2"/>
        <v>0.0762207834205618+0.00974749931297635i</v>
      </c>
      <c r="I190" s="85">
        <f t="shared" si="19"/>
        <v>0.72024206121006584</v>
      </c>
      <c r="J190" s="70">
        <f t="shared" si="3"/>
        <v>0</v>
      </c>
      <c r="K190" s="84" t="str">
        <f t="shared" si="4"/>
        <v>-0.651488267946758-0.0057211115978534i</v>
      </c>
      <c r="L190" s="86">
        <f t="shared" si="17"/>
        <v>0.65151338772904877</v>
      </c>
      <c r="M190" s="72">
        <f t="shared" si="5"/>
        <v>64.879232137626175</v>
      </c>
      <c r="N190" s="72">
        <f t="shared" si="6"/>
        <v>68.17256406498106</v>
      </c>
      <c r="O190" s="72">
        <f t="shared" si="7"/>
        <v>58.553431844455915</v>
      </c>
      <c r="P190" s="73">
        <f t="shared" si="18"/>
        <v>28.455541970092909</v>
      </c>
      <c r="Q190" s="74">
        <f t="shared" si="8"/>
        <v>29.697351761702084</v>
      </c>
      <c r="R190" s="87">
        <f t="shared" si="9"/>
        <v>16.494253950332851</v>
      </c>
      <c r="S190" s="72">
        <f t="shared" si="10"/>
        <v>14.920299504849877</v>
      </c>
      <c r="T190" s="88">
        <f t="shared" si="11"/>
        <v>92.076316073380951</v>
      </c>
      <c r="U190" s="88">
        <f t="shared" si="12"/>
        <v>95.369648000735822</v>
      </c>
      <c r="V190" s="89">
        <f t="shared" si="13"/>
        <v>85.750515780210691</v>
      </c>
      <c r="W190" s="125">
        <f t="shared" si="14"/>
        <v>18.430687345185103</v>
      </c>
    </row>
    <row r="191" spans="2:23" ht="12.75" customHeight="1" x14ac:dyDescent="0.2">
      <c r="B191" s="48"/>
      <c r="C191" s="90">
        <v>17.38</v>
      </c>
      <c r="D191" s="81">
        <f t="shared" si="15"/>
        <v>109.20176063878121</v>
      </c>
      <c r="E191" s="82" t="str">
        <f t="shared" si="16"/>
        <v>109.201760638781i</v>
      </c>
      <c r="F191" s="83" t="str">
        <f t="shared" si="0"/>
        <v>-2.88680998971916+0.359614152579919i</v>
      </c>
      <c r="G191" s="84" t="str">
        <f t="shared" si="1"/>
        <v>0.0000638419174359161-0.000700878766926672i</v>
      </c>
      <c r="H191" s="84" t="str">
        <f t="shared" si="2"/>
        <v>0.0765371953427304+0.00697164978655773i</v>
      </c>
      <c r="I191" s="85">
        <f t="shared" si="19"/>
        <v>0.70378038929096798</v>
      </c>
      <c r="J191" s="70">
        <f t="shared" si="3"/>
        <v>0</v>
      </c>
      <c r="K191" s="84" t="str">
        <f t="shared" si="4"/>
        <v>-0.665784844647368+0.0220424100153i</v>
      </c>
      <c r="L191" s="86">
        <f t="shared" si="17"/>
        <v>0.66614962823783253</v>
      </c>
      <c r="M191" s="72">
        <f t="shared" si="5"/>
        <v>65.082889208177576</v>
      </c>
      <c r="N191" s="72">
        <f t="shared" si="6"/>
        <v>68.567774700051658</v>
      </c>
      <c r="O191" s="72">
        <f t="shared" si="7"/>
        <v>59.341275328429703</v>
      </c>
      <c r="P191" s="73">
        <f t="shared" si="18"/>
        <v>30.820275808374785</v>
      </c>
      <c r="Q191" s="74">
        <f t="shared" si="8"/>
        <v>22.568126598988602</v>
      </c>
      <c r="R191" s="87">
        <f t="shared" si="9"/>
        <v>16.117265418693247</v>
      </c>
      <c r="S191" s="72">
        <f t="shared" si="10"/>
        <v>15.255483855822707</v>
      </c>
      <c r="T191" s="88">
        <f t="shared" si="11"/>
        <v>92.279973143932352</v>
      </c>
      <c r="U191" s="88">
        <f t="shared" si="12"/>
        <v>95.764858635806434</v>
      </c>
      <c r="V191" s="89">
        <f t="shared" si="13"/>
        <v>86.538359264184464</v>
      </c>
      <c r="W191" s="125">
        <f t="shared" si="14"/>
        <v>17.016564048595079</v>
      </c>
    </row>
    <row r="192" spans="2:23" ht="12.75" customHeight="1" x14ac:dyDescent="0.2">
      <c r="B192" s="48"/>
      <c r="C192" s="90">
        <v>17.78</v>
      </c>
      <c r="D192" s="81">
        <f t="shared" si="15"/>
        <v>111.71503476165304</v>
      </c>
      <c r="E192" s="82" t="str">
        <f t="shared" si="16"/>
        <v>111.715034761653i</v>
      </c>
      <c r="F192" s="83" t="str">
        <f t="shared" si="0"/>
        <v>-3.08938545231889+0.403189967565981i</v>
      </c>
      <c r="G192" s="84" t="str">
        <f t="shared" si="1"/>
        <v>0.00003731504752989-0.000685864615735314i</v>
      </c>
      <c r="H192" s="84" t="str">
        <f t="shared" si="2"/>
        <v>0.0766213893886584+0.0041686518319344i</v>
      </c>
      <c r="I192" s="85">
        <f t="shared" si="19"/>
        <v>0.68687894413055617</v>
      </c>
      <c r="J192" s="70">
        <f t="shared" si="3"/>
        <v>0</v>
      </c>
      <c r="K192" s="84" t="str">
        <f t="shared" si="4"/>
        <v>-0.67869380884357+0.0512860054946075i</v>
      </c>
      <c r="L192" s="86">
        <f t="shared" si="17"/>
        <v>0.68062878320137565</v>
      </c>
      <c r="M192" s="72">
        <f t="shared" si="5"/>
        <v>65.267029437154633</v>
      </c>
      <c r="N192" s="72">
        <f t="shared" si="6"/>
        <v>68.952184814989309</v>
      </c>
      <c r="O192" s="72">
        <f t="shared" si="7"/>
        <v>60.109875760410539</v>
      </c>
      <c r="P192" s="73">
        <f t="shared" si="18"/>
        <v>32.544710952015755</v>
      </c>
      <c r="Q192" s="74">
        <f t="shared" si="8"/>
        <v>14.023474414958434</v>
      </c>
      <c r="R192" s="87">
        <f t="shared" si="9"/>
        <v>15.730205645850923</v>
      </c>
      <c r="S192" s="72">
        <f t="shared" si="10"/>
        <v>15.587070792794508</v>
      </c>
      <c r="T192" s="88">
        <f t="shared" si="11"/>
        <v>92.464113372909395</v>
      </c>
      <c r="U192" s="88">
        <f t="shared" si="12"/>
        <v>96.149268750744085</v>
      </c>
      <c r="V192" s="89">
        <f t="shared" si="13"/>
        <v>87.306959696165308</v>
      </c>
      <c r="W192" s="125">
        <f t="shared" si="14"/>
        <v>16.114913359096587</v>
      </c>
    </row>
    <row r="193" spans="2:23" ht="12.75" customHeight="1" x14ac:dyDescent="0.2">
      <c r="B193" s="48"/>
      <c r="C193" s="90">
        <v>18.2</v>
      </c>
      <c r="D193" s="81">
        <f t="shared" si="15"/>
        <v>114.35397259066846</v>
      </c>
      <c r="E193" s="82" t="str">
        <f t="shared" si="16"/>
        <v>114.353972590668i</v>
      </c>
      <c r="F193" s="83" t="str">
        <f t="shared" si="0"/>
        <v>-3.31728137147265+0.4549334464007i</v>
      </c>
      <c r="G193" s="84" t="str">
        <f t="shared" si="1"/>
        <v>0.0000106445890283484-0.000668569817509528i</v>
      </c>
      <c r="H193" s="84" t="str">
        <f t="shared" si="2"/>
        <v>0.0764536145864325+0.00121725104198668i</v>
      </c>
      <c r="I193" s="85">
        <f t="shared" si="19"/>
        <v>0.66865455069139101</v>
      </c>
      <c r="J193" s="70">
        <f t="shared" si="3"/>
        <v>0</v>
      </c>
      <c r="K193" s="84" t="str">
        <f t="shared" si="4"/>
        <v>-0.690601158359159+0.0835316023150818i</v>
      </c>
      <c r="L193" s="86">
        <f t="shared" si="17"/>
        <v>0.69563459410263462</v>
      </c>
      <c r="M193" s="72">
        <f t="shared" si="5"/>
        <v>65.439046713398142</v>
      </c>
      <c r="N193" s="72">
        <f t="shared" si="6"/>
        <v>69.344394649370685</v>
      </c>
      <c r="O193" s="72">
        <f t="shared" si="7"/>
        <v>60.896777727113033</v>
      </c>
      <c r="P193" s="73">
        <f t="shared" si="18"/>
        <v>33.124377014005127</v>
      </c>
      <c r="Q193" s="74">
        <f t="shared" si="8"/>
        <v>4.1298930093424397</v>
      </c>
      <c r="R193" s="87">
        <f t="shared" si="9"/>
        <v>15.312849051914515</v>
      </c>
      <c r="S193" s="72">
        <f t="shared" si="10"/>
        <v>15.930718670454141</v>
      </c>
      <c r="T193" s="88">
        <f t="shared" si="11"/>
        <v>92.636130649152904</v>
      </c>
      <c r="U193" s="88">
        <f t="shared" si="12"/>
        <v>96.541478585125446</v>
      </c>
      <c r="V193" s="89">
        <f t="shared" si="13"/>
        <v>88.093861662867795</v>
      </c>
      <c r="W193" s="125">
        <f t="shared" si="14"/>
        <v>15.832907500926977</v>
      </c>
    </row>
    <row r="194" spans="2:23" ht="12.75" customHeight="1" x14ac:dyDescent="0.2">
      <c r="B194" s="48"/>
      <c r="C194" s="90">
        <v>18.62</v>
      </c>
      <c r="D194" s="81">
        <f t="shared" si="15"/>
        <v>116.99291041968389</v>
      </c>
      <c r="E194" s="82" t="str">
        <f t="shared" si="16"/>
        <v>116.992910419684i</v>
      </c>
      <c r="F194" s="83" t="str">
        <f t="shared" si="0"/>
        <v>-3.56222722221417+0.513768286486801i</v>
      </c>
      <c r="G194" s="84" t="str">
        <f t="shared" si="1"/>
        <v>-0.0000146971983247525-0.000649770630662323i</v>
      </c>
      <c r="H194" s="84" t="str">
        <f t="shared" si="2"/>
        <v>0.0760185571864187-0.0017194680070281i</v>
      </c>
      <c r="I194" s="85">
        <f t="shared" si="19"/>
        <v>0.64993682778398554</v>
      </c>
      <c r="J194" s="70">
        <f t="shared" si="3"/>
        <v>0</v>
      </c>
      <c r="K194" s="84" t="str">
        <f t="shared" si="4"/>
        <v>-0.700656724010821+0.117284215742011i</v>
      </c>
      <c r="L194" s="86">
        <f t="shared" si="17"/>
        <v>0.7104051183400879</v>
      </c>
      <c r="M194" s="72">
        <f t="shared" si="5"/>
        <v>65.588765094197768</v>
      </c>
      <c r="N194" s="72">
        <f t="shared" si="6"/>
        <v>69.72505862940038</v>
      </c>
      <c r="O194" s="72">
        <f t="shared" si="7"/>
        <v>61.663584213634735</v>
      </c>
      <c r="P194" s="73">
        <f t="shared" si="18"/>
        <v>32.216254061860518</v>
      </c>
      <c r="Q194" s="74">
        <f t="shared" si="8"/>
        <v>-5.6782575099734567</v>
      </c>
      <c r="R194" s="87">
        <f t="shared" si="9"/>
        <v>14.884194726328465</v>
      </c>
      <c r="S194" s="72">
        <f t="shared" si="10"/>
        <v>16.268978251327251</v>
      </c>
      <c r="T194" s="88">
        <f t="shared" si="11"/>
        <v>92.785849029952544</v>
      </c>
      <c r="U194" s="88">
        <f t="shared" si="12"/>
        <v>96.922142565155156</v>
      </c>
      <c r="V194" s="89">
        <f t="shared" si="13"/>
        <v>88.860668149389511</v>
      </c>
      <c r="W194" s="125">
        <f t="shared" si="14"/>
        <v>16.279210993355495</v>
      </c>
    </row>
    <row r="195" spans="2:23" ht="12.75" customHeight="1" x14ac:dyDescent="0.2">
      <c r="B195" s="48"/>
      <c r="C195" s="90">
        <v>19.05</v>
      </c>
      <c r="D195" s="81">
        <f t="shared" si="15"/>
        <v>119.69468010177113</v>
      </c>
      <c r="E195" s="82" t="str">
        <f t="shared" si="16"/>
        <v>119.694680101771i</v>
      </c>
      <c r="F195" s="83" t="str">
        <f t="shared" si="0"/>
        <v>-3.83245258236255+0.582561599502131i</v>
      </c>
      <c r="G195" s="84" t="str">
        <f t="shared" si="1"/>
        <v>-0.0000391413212137133-0.000629043193712067i</v>
      </c>
      <c r="H195" s="84" t="str">
        <f t="shared" si="2"/>
        <v>0.0752931238415622-0.00468500792143608i</v>
      </c>
      <c r="I195" s="85">
        <f t="shared" si="19"/>
        <v>0.63025977388838028</v>
      </c>
      <c r="J195" s="70">
        <f t="shared" si="3"/>
        <v>0</v>
      </c>
      <c r="K195" s="84" t="str">
        <f t="shared" si="4"/>
        <v>-0.708854910266833+0.153308830959265i</v>
      </c>
      <c r="L195" s="86">
        <f t="shared" si="17"/>
        <v>0.72524401511456571</v>
      </c>
      <c r="M195" s="72">
        <f t="shared" si="5"/>
        <v>65.718346087780631</v>
      </c>
      <c r="N195" s="72">
        <f t="shared" si="6"/>
        <v>70.102926132600828</v>
      </c>
      <c r="O195" s="72">
        <f t="shared" si="7"/>
        <v>62.42830014475355</v>
      </c>
      <c r="P195" s="73">
        <f t="shared" si="18"/>
        <v>30.071817937329541</v>
      </c>
      <c r="Q195" s="74">
        <f t="shared" si="8"/>
        <v>-14.574665881627174</v>
      </c>
      <c r="R195" s="87">
        <f t="shared" si="9"/>
        <v>14.433570774426496</v>
      </c>
      <c r="S195" s="72">
        <f t="shared" si="10"/>
        <v>16.608803630769547</v>
      </c>
      <c r="T195" s="88">
        <f t="shared" si="11"/>
        <v>92.915430023535407</v>
      </c>
      <c r="U195" s="88">
        <f t="shared" si="12"/>
        <v>97.30001006835559</v>
      </c>
      <c r="V195" s="89">
        <f t="shared" si="13"/>
        <v>89.625384080508326</v>
      </c>
      <c r="W195" s="125">
        <f t="shared" si="14"/>
        <v>17.440089534379087</v>
      </c>
    </row>
    <row r="196" spans="2:23" ht="12.75" customHeight="1" x14ac:dyDescent="0.2">
      <c r="B196" s="48"/>
      <c r="C196" s="90">
        <v>19.5</v>
      </c>
      <c r="D196" s="81">
        <f t="shared" si="15"/>
        <v>122.52211349000193</v>
      </c>
      <c r="E196" s="82" t="str">
        <f t="shared" si="16"/>
        <v>122.522113490002i</v>
      </c>
      <c r="F196" s="83" t="str">
        <f t="shared" si="0"/>
        <v>-4.13856622965503+0.665446641750353i</v>
      </c>
      <c r="G196" s="84" t="str">
        <f t="shared" si="1"/>
        <v>-0.0000629586705185569-0.000605847829508137i</v>
      </c>
      <c r="H196" s="84" t="str">
        <f t="shared" si="2"/>
        <v>0.0742297565246673-0.00771382937445427i</v>
      </c>
      <c r="I196" s="85">
        <f t="shared" si="19"/>
        <v>0.60911032392595754</v>
      </c>
      <c r="J196" s="70">
        <f t="shared" si="3"/>
        <v>0</v>
      </c>
      <c r="K196" s="84" t="str">
        <f t="shared" si="4"/>
        <v>-0.714962418310619+0.192473694550824i</v>
      </c>
      <c r="L196" s="86">
        <f t="shared" si="17"/>
        <v>0.74041703295549088</v>
      </c>
      <c r="M196" s="72">
        <f t="shared" si="5"/>
        <v>65.827458765569105</v>
      </c>
      <c r="N196" s="72">
        <f t="shared" si="6"/>
        <v>70.485563706685326</v>
      </c>
      <c r="O196" s="72">
        <f t="shared" si="7"/>
        <v>63.206967688188307</v>
      </c>
      <c r="P196" s="73">
        <f t="shared" si="18"/>
        <v>27.201675515275799</v>
      </c>
      <c r="Q196" s="74">
        <f t="shared" si="8"/>
        <v>-22.010792902206276</v>
      </c>
      <c r="R196" s="87">
        <f t="shared" si="9"/>
        <v>13.949227499605845</v>
      </c>
      <c r="S196" s="72">
        <f t="shared" si="10"/>
        <v>16.956280712350537</v>
      </c>
      <c r="T196" s="88">
        <f t="shared" si="11"/>
        <v>93.024542701323867</v>
      </c>
      <c r="U196" s="88">
        <f t="shared" si="12"/>
        <v>97.682647642440088</v>
      </c>
      <c r="V196" s="89">
        <f t="shared" si="13"/>
        <v>90.404051623943076</v>
      </c>
      <c r="W196" s="125">
        <f t="shared" si="14"/>
        <v>19.280253416523987</v>
      </c>
    </row>
    <row r="197" spans="2:23" ht="12.75" customHeight="1" x14ac:dyDescent="0.2">
      <c r="B197" s="48"/>
      <c r="C197" s="90">
        <v>19.95</v>
      </c>
      <c r="D197" s="81">
        <f t="shared" si="15"/>
        <v>125.34954687823274</v>
      </c>
      <c r="E197" s="82" t="str">
        <f t="shared" si="16"/>
        <v>125.349546878233i</v>
      </c>
      <c r="F197" s="83" t="str">
        <f t="shared" si="0"/>
        <v>-4.47121845006023+0.761536018566122i</v>
      </c>
      <c r="G197" s="84" t="str">
        <f t="shared" si="1"/>
        <v>-0.0000848307147126459-0.000581235560544003i</v>
      </c>
      <c r="H197" s="84" t="str">
        <f t="shared" si="2"/>
        <v>0.0728576141437065-0.0106334916505868i</v>
      </c>
      <c r="I197" s="85">
        <f t="shared" si="19"/>
        <v>0.58739341756573993</v>
      </c>
      <c r="J197" s="70">
        <f t="shared" si="3"/>
        <v>0</v>
      </c>
      <c r="K197" s="84" t="str">
        <f t="shared" si="4"/>
        <v>-0.718332345958876+0.232977243380383i</v>
      </c>
      <c r="L197" s="86">
        <f t="shared" si="17"/>
        <v>0.75516869319636415</v>
      </c>
      <c r="M197" s="72">
        <f t="shared" si="5"/>
        <v>65.908452610587972</v>
      </c>
      <c r="N197" s="72">
        <f t="shared" si="6"/>
        <v>70.855081005976629</v>
      </c>
      <c r="O197" s="72">
        <f t="shared" si="7"/>
        <v>63.963881525976063</v>
      </c>
      <c r="P197" s="73">
        <f t="shared" si="18"/>
        <v>24.286149132517949</v>
      </c>
      <c r="Q197" s="74">
        <f t="shared" si="8"/>
        <v>-27.468505981145846</v>
      </c>
      <c r="R197" s="87">
        <f t="shared" si="9"/>
        <v>13.451888913298882</v>
      </c>
      <c r="S197" s="72">
        <f t="shared" si="10"/>
        <v>17.294108289086612</v>
      </c>
      <c r="T197" s="88">
        <f t="shared" si="11"/>
        <v>93.105536546342734</v>
      </c>
      <c r="U197" s="88">
        <f t="shared" si="12"/>
        <v>98.052164941731405</v>
      </c>
      <c r="V197" s="89">
        <f t="shared" si="13"/>
        <v>91.160965461730825</v>
      </c>
      <c r="W197" s="125">
        <f t="shared" si="14"/>
        <v>21.594827340755938</v>
      </c>
    </row>
    <row r="198" spans="2:23" ht="12.75" customHeight="1" x14ac:dyDescent="0.2">
      <c r="B198" s="48"/>
      <c r="C198" s="90">
        <v>20.420000000000002</v>
      </c>
      <c r="D198" s="81">
        <f t="shared" si="15"/>
        <v>128.30264397260717</v>
      </c>
      <c r="E198" s="82" t="str">
        <f t="shared" si="16"/>
        <v>128.302643972607i</v>
      </c>
      <c r="F198" s="83" t="str">
        <f t="shared" si="0"/>
        <v>-4.85038903709076+0.878794187317974i</v>
      </c>
      <c r="G198" s="84" t="str">
        <f t="shared" si="1"/>
        <v>-0.000105447070878139-0.000554169510360732i</v>
      </c>
      <c r="H198" s="84" t="str">
        <f t="shared" si="2"/>
        <v>0.0711014133882869-0.0135291379928321i</v>
      </c>
      <c r="I198" s="85">
        <f t="shared" si="19"/>
        <v>0.5641125162325622</v>
      </c>
      <c r="J198" s="70">
        <f t="shared" si="3"/>
        <v>0</v>
      </c>
      <c r="K198" s="84" t="str">
        <f t="shared" si="4"/>
        <v>-0.718702951470187+0.276501457295176i</v>
      </c>
      <c r="L198" s="86">
        <f t="shared" si="17"/>
        <v>0.77005648386226444</v>
      </c>
      <c r="M198" s="72">
        <f t="shared" si="5"/>
        <v>65.961699325651793</v>
      </c>
      <c r="N198" s="72">
        <f t="shared" si="6"/>
        <v>71.226909854909323</v>
      </c>
      <c r="O198" s="72">
        <f t="shared" si="7"/>
        <v>64.731497529642908</v>
      </c>
      <c r="P198" s="73">
        <f t="shared" si="18"/>
        <v>21.528095361879824</v>
      </c>
      <c r="Q198" s="74">
        <f t="shared" si="8"/>
        <v>-31.347078312627904</v>
      </c>
      <c r="R198" s="87">
        <f t="shared" si="9"/>
        <v>12.91873329873102</v>
      </c>
      <c r="S198" s="72">
        <f t="shared" si="10"/>
        <v>17.635053386891908</v>
      </c>
      <c r="T198" s="88">
        <f t="shared" si="11"/>
        <v>93.158783261406569</v>
      </c>
      <c r="U198" s="88">
        <f t="shared" si="12"/>
        <v>98.423993790664099</v>
      </c>
      <c r="V198" s="89">
        <f t="shared" si="13"/>
        <v>91.928581465397684</v>
      </c>
      <c r="W198" s="125">
        <f t="shared" si="14"/>
        <v>24.36143042255544</v>
      </c>
    </row>
    <row r="199" spans="2:23" ht="12.75" customHeight="1" x14ac:dyDescent="0.2">
      <c r="B199" s="48"/>
      <c r="C199" s="90">
        <v>20.89</v>
      </c>
      <c r="D199" s="81">
        <f t="shared" si="15"/>
        <v>131.25574106698156</v>
      </c>
      <c r="E199" s="82" t="str">
        <f t="shared" si="16"/>
        <v>131.255741066982i</v>
      </c>
      <c r="F199" s="83" t="str">
        <f t="shared" si="0"/>
        <v>-5.26605659716668+1.01694238645703i</v>
      </c>
      <c r="G199" s="84" t="str">
        <f t="shared" si="1"/>
        <v>-0.00012363879395108-0.000525894559499362i</v>
      </c>
      <c r="H199" s="84" t="str">
        <f t="shared" si="2"/>
        <v>0.0690266801301828-0.0162283015246769i</v>
      </c>
      <c r="I199" s="85">
        <f t="shared" si="19"/>
        <v>0.5402329489032538</v>
      </c>
      <c r="J199" s="70">
        <f t="shared" ref="J199:J230" si="20">IF(AND(I200&gt;I199,I200&gt;I201),I200,0)</f>
        <v>0</v>
      </c>
      <c r="K199" s="84" t="str">
        <f t="shared" si="4"/>
        <v>-0.715630830483577+0.321018139450888i</v>
      </c>
      <c r="L199" s="86">
        <f t="shared" si="17"/>
        <v>0.78433419624234402</v>
      </c>
      <c r="M199" s="72">
        <f t="shared" si="5"/>
        <v>65.981314067352102</v>
      </c>
      <c r="N199" s="72">
        <f t="shared" si="6"/>
        <v>71.584135265380439</v>
      </c>
      <c r="O199" s="72">
        <f t="shared" si="7"/>
        <v>65.475871172593628</v>
      </c>
      <c r="P199" s="73">
        <f t="shared" si="18"/>
        <v>19.168207222197033</v>
      </c>
      <c r="Q199" s="74">
        <f t="shared" si="8"/>
        <v>-33.752446998785629</v>
      </c>
      <c r="R199" s="87">
        <f t="shared" ref="R199:R230" si="21">MaxV*I199</f>
        <v>12.371867642076726</v>
      </c>
      <c r="S199" s="72">
        <f t="shared" ref="S199:S230" si="22">MaxV*L199</f>
        <v>17.962027089915004</v>
      </c>
      <c r="T199" s="88">
        <f t="shared" ref="T199:T230" si="23">20*LOG10(MaxV)+M199</f>
        <v>93.178398003106878</v>
      </c>
      <c r="U199" s="88">
        <f t="shared" ref="U199:U230" si="24">20*LOG10(MaxV)+N199</f>
        <v>98.781219201135201</v>
      </c>
      <c r="V199" s="89">
        <f t="shared" si="13"/>
        <v>92.67295510834839</v>
      </c>
      <c r="W199" s="125">
        <f t="shared" si="14"/>
        <v>27.360680694292949</v>
      </c>
    </row>
    <row r="200" spans="2:23" ht="12.75" customHeight="1" x14ac:dyDescent="0.2">
      <c r="B200" s="48"/>
      <c r="C200" s="90">
        <v>21.38</v>
      </c>
      <c r="D200" s="81">
        <f t="shared" si="15"/>
        <v>134.33450186749954</v>
      </c>
      <c r="E200" s="82" t="str">
        <f t="shared" si="16"/>
        <v>134.3345018675i</v>
      </c>
      <c r="F200" s="83" t="str">
        <f t="shared" si="0"/>
        <v>-5.74345334965604+1.18823584044552i</v>
      </c>
      <c r="G200" s="84" t="str">
        <f t="shared" si="1"/>
        <v>-0.000139873398736359-0.000495352829359321i</v>
      </c>
      <c r="H200" s="84" t="str">
        <f t="shared" si="2"/>
        <v>0.0665429755806411-0.018789823343763i</v>
      </c>
      <c r="I200" s="85">
        <f t="shared" si="19"/>
        <v>0.514722248623804</v>
      </c>
      <c r="J200" s="70">
        <f t="shared" si="20"/>
        <v>0</v>
      </c>
      <c r="K200" s="84" t="str">
        <f t="shared" si="4"/>
        <v>-0.708533457599207+0.368162065611686i</v>
      </c>
      <c r="L200" s="86">
        <f t="shared" si="17"/>
        <v>0.79847540168307685</v>
      </c>
      <c r="M200" s="72">
        <f t="shared" si="5"/>
        <v>65.963921952474678</v>
      </c>
      <c r="N200" s="72">
        <f t="shared" si="6"/>
        <v>71.940728308886278</v>
      </c>
      <c r="O200" s="72">
        <f t="shared" si="7"/>
        <v>66.227279295333744</v>
      </c>
      <c r="P200" s="73">
        <f t="shared" si="18"/>
        <v>17.118729361841623</v>
      </c>
      <c r="Q200" s="74">
        <f t="shared" si="8"/>
        <v>-35.066138637979762</v>
      </c>
      <c r="R200" s="87">
        <f t="shared" si="21"/>
        <v>11.787647431231047</v>
      </c>
      <c r="S200" s="72">
        <f t="shared" si="22"/>
        <v>18.285874649319407</v>
      </c>
      <c r="T200" s="88">
        <f t="shared" si="23"/>
        <v>93.161005888229454</v>
      </c>
      <c r="U200" s="88">
        <f t="shared" si="24"/>
        <v>99.137812244641054</v>
      </c>
      <c r="V200" s="89">
        <f t="shared" si="13"/>
        <v>93.424363231088506</v>
      </c>
      <c r="W200" s="125">
        <f t="shared" si="14"/>
        <v>30.63633907652088</v>
      </c>
    </row>
    <row r="201" spans="2:23" ht="12.75" customHeight="1" x14ac:dyDescent="0.2">
      <c r="B201" s="48"/>
      <c r="C201" s="90">
        <v>21.88</v>
      </c>
      <c r="D201" s="81">
        <f t="shared" si="15"/>
        <v>137.47609452108935</v>
      </c>
      <c r="E201" s="82" t="str">
        <f t="shared" si="16"/>
        <v>137.476094521089i</v>
      </c>
      <c r="F201" s="83" t="str">
        <f t="shared" si="0"/>
        <v>-6.28343183470466+1.39865771017489i</v>
      </c>
      <c r="G201" s="84" t="str">
        <f t="shared" si="1"/>
        <v>-0.000153424018950861-0.0004633376736509i</v>
      </c>
      <c r="H201" s="84" t="str">
        <f t="shared" si="2"/>
        <v>0.0636978538180126-0.0210921349310939i</v>
      </c>
      <c r="I201" s="85">
        <f t="shared" si="19"/>
        <v>0.48807860987269469</v>
      </c>
      <c r="J201" s="70">
        <f t="shared" si="20"/>
        <v>0</v>
      </c>
      <c r="K201" s="84" t="str">
        <f t="shared" si="4"/>
        <v>-0.696976028468679+0.416640704755852i</v>
      </c>
      <c r="L201" s="86">
        <f t="shared" si="17"/>
        <v>0.81201296856603578</v>
      </c>
      <c r="M201" s="72">
        <f t="shared" si="5"/>
        <v>65.903843308358262</v>
      </c>
      <c r="N201" s="72">
        <f t="shared" si="6"/>
        <v>72.28754912110422</v>
      </c>
      <c r="O201" s="72">
        <f t="shared" si="7"/>
        <v>66.968098179147148</v>
      </c>
      <c r="P201" s="73">
        <f t="shared" si="18"/>
        <v>15.399067176764104</v>
      </c>
      <c r="Q201" s="74">
        <f t="shared" si="8"/>
        <v>-35.459855052725509</v>
      </c>
      <c r="R201" s="87">
        <f t="shared" si="21"/>
        <v>11.177481811379041</v>
      </c>
      <c r="S201" s="72">
        <f t="shared" si="22"/>
        <v>18.595898290068728</v>
      </c>
      <c r="T201" s="88">
        <f t="shared" si="23"/>
        <v>93.100927244113024</v>
      </c>
      <c r="U201" s="88">
        <f t="shared" si="24"/>
        <v>99.484633056858996</v>
      </c>
      <c r="V201" s="89">
        <f t="shared" si="13"/>
        <v>94.16518211490191</v>
      </c>
      <c r="W201" s="125">
        <f t="shared" si="14"/>
        <v>34.057595260051436</v>
      </c>
    </row>
    <row r="202" spans="2:23" ht="12.75" customHeight="1" x14ac:dyDescent="0.2">
      <c r="B202" s="48"/>
      <c r="C202" s="90">
        <v>22.39</v>
      </c>
      <c r="D202" s="81">
        <f t="shared" si="15"/>
        <v>140.68051902775093</v>
      </c>
      <c r="E202" s="82" t="str">
        <f t="shared" si="16"/>
        <v>140.680519027751i</v>
      </c>
      <c r="F202" s="83" t="str">
        <f t="shared" si="0"/>
        <v>-6.89730983568688+1.66006077744768i</v>
      </c>
      <c r="G202" s="84" t="str">
        <f t="shared" si="1"/>
        <v>-0.000163984858871367-0.000430116151896624i</v>
      </c>
      <c r="H202" s="84" t="str">
        <f t="shared" si="2"/>
        <v>0.060508963491036-0.0230694750587164i</v>
      </c>
      <c r="I202" s="85">
        <f t="shared" si="19"/>
        <v>0.46031612839593389</v>
      </c>
      <c r="J202" s="70">
        <f t="shared" si="20"/>
        <v>0</v>
      </c>
      <c r="K202" s="84" t="str">
        <f t="shared" si="4"/>
        <v>-0.680508418806153+0.465995707627824i</v>
      </c>
      <c r="L202" s="86">
        <f t="shared" si="17"/>
        <v>0.82476888131985615</v>
      </c>
      <c r="M202" s="72">
        <f t="shared" si="5"/>
        <v>65.795442680551446</v>
      </c>
      <c r="N202" s="72">
        <f t="shared" si="6"/>
        <v>72.623070663671143</v>
      </c>
      <c r="O202" s="72">
        <f t="shared" si="7"/>
        <v>67.696657756803035</v>
      </c>
      <c r="P202" s="73">
        <f t="shared" si="18"/>
        <v>13.96092379689159</v>
      </c>
      <c r="Q202" s="74">
        <f t="shared" si="8"/>
        <v>-35.11782864664012</v>
      </c>
      <c r="R202" s="87">
        <f t="shared" si="21"/>
        <v>10.541693589014244</v>
      </c>
      <c r="S202" s="72">
        <f t="shared" si="22"/>
        <v>18.888021279909555</v>
      </c>
      <c r="T202" s="88">
        <f t="shared" si="23"/>
        <v>92.992526616306208</v>
      </c>
      <c r="U202" s="88">
        <f t="shared" si="24"/>
        <v>99.820154599425905</v>
      </c>
      <c r="V202" s="89">
        <f t="shared" si="13"/>
        <v>94.893741692557796</v>
      </c>
      <c r="W202" s="125">
        <f t="shared" si="14"/>
        <v>37.565937965032418</v>
      </c>
    </row>
    <row r="203" spans="2:23" ht="12.75" customHeight="1" x14ac:dyDescent="0.2">
      <c r="B203" s="48"/>
      <c r="C203" s="90">
        <v>22.91</v>
      </c>
      <c r="D203" s="81">
        <f t="shared" si="15"/>
        <v>143.94777538748431</v>
      </c>
      <c r="E203" s="82" t="str">
        <f t="shared" si="16"/>
        <v>143.947775387484i</v>
      </c>
      <c r="F203" s="83" t="str">
        <f t="shared" si="0"/>
        <v>-7.59888601164661+1.98890590437456i</v>
      </c>
      <c r="G203" s="84" t="str">
        <f t="shared" si="1"/>
        <v>-0.000171270058466572-0.000396023777189015i</v>
      </c>
      <c r="H203" s="84" t="str">
        <f t="shared" si="2"/>
        <v>0.0570067417269073-0.0246539439067474i</v>
      </c>
      <c r="I203" s="85">
        <f t="shared" si="19"/>
        <v>0.43147220655124191</v>
      </c>
      <c r="J203" s="70">
        <f t="shared" si="20"/>
        <v>0</v>
      </c>
      <c r="K203" s="84" t="str">
        <f t="shared" si="4"/>
        <v>-0.658714107236295+0.515655646104678i</v>
      </c>
      <c r="L203" s="86">
        <f t="shared" si="17"/>
        <v>0.83654349583972143</v>
      </c>
      <c r="M203" s="72">
        <f t="shared" si="5"/>
        <v>65.632215182693614</v>
      </c>
      <c r="N203" s="72">
        <f t="shared" si="6"/>
        <v>72.945615782441564</v>
      </c>
      <c r="O203" s="72">
        <f t="shared" si="7"/>
        <v>68.411148383165354</v>
      </c>
      <c r="P203" s="73">
        <f t="shared" si="18"/>
        <v>12.757742838261173</v>
      </c>
      <c r="Q203" s="74">
        <f t="shared" si="8"/>
        <v>-34.17953587441977</v>
      </c>
      <c r="R203" s="87">
        <f t="shared" si="21"/>
        <v>9.8811393150378137</v>
      </c>
      <c r="S203" s="72">
        <f t="shared" si="22"/>
        <v>19.157671571828967</v>
      </c>
      <c r="T203" s="88">
        <f t="shared" si="23"/>
        <v>92.829299118448375</v>
      </c>
      <c r="U203" s="88">
        <f t="shared" si="24"/>
        <v>100.14269971819633</v>
      </c>
      <c r="V203" s="89">
        <f t="shared" si="13"/>
        <v>95.60823231892013</v>
      </c>
      <c r="W203" s="125">
        <f t="shared" si="14"/>
        <v>41.108776367219441</v>
      </c>
    </row>
    <row r="204" spans="2:23" ht="12.75" customHeight="1" x14ac:dyDescent="0.2">
      <c r="B204" s="48"/>
      <c r="C204" s="90">
        <v>23.44</v>
      </c>
      <c r="D204" s="81">
        <f t="shared" si="15"/>
        <v>147.27786360028952</v>
      </c>
      <c r="E204" s="82" t="str">
        <f t="shared" si="16"/>
        <v>147.27786360029i</v>
      </c>
      <c r="F204" s="83" t="str">
        <f t="shared" si="0"/>
        <v>-8.40489574775484+2.40847900092994i</v>
      </c>
      <c r="G204" s="84" t="str">
        <f t="shared" si="1"/>
        <v>-0.000175029619245621-0.000361467760289357i</v>
      </c>
      <c r="H204" s="84" t="str">
        <f t="shared" si="2"/>
        <v>0.0532361994957982-0.0257779883892673i</v>
      </c>
      <c r="I204" s="85">
        <f t="shared" si="19"/>
        <v>0.40161462789827651</v>
      </c>
      <c r="J204" s="70">
        <f t="shared" si="20"/>
        <v>0</v>
      </c>
      <c r="K204" s="84" t="str">
        <f t="shared" si="4"/>
        <v>-0.631237453884124+0.564930168479351i</v>
      </c>
      <c r="L204" s="86">
        <f t="shared" si="17"/>
        <v>0.84711676789225432</v>
      </c>
      <c r="M204" s="72">
        <f t="shared" si="5"/>
        <v>65.406649847101662</v>
      </c>
      <c r="N204" s="72">
        <f t="shared" si="6"/>
        <v>73.253361173188623</v>
      </c>
      <c r="O204" s="72">
        <f t="shared" si="7"/>
        <v>69.109624256087741</v>
      </c>
      <c r="P204" s="73">
        <f t="shared" si="18"/>
        <v>11.74955617599991</v>
      </c>
      <c r="Q204" s="74">
        <f t="shared" si="8"/>
        <v>-32.750498690864703</v>
      </c>
      <c r="R204" s="87">
        <f t="shared" si="21"/>
        <v>9.1973712998560231</v>
      </c>
      <c r="S204" s="72">
        <f t="shared" si="22"/>
        <v>19.399809935738777</v>
      </c>
      <c r="T204" s="88">
        <f t="shared" si="23"/>
        <v>92.603733782856438</v>
      </c>
      <c r="U204" s="88">
        <f t="shared" si="24"/>
        <v>100.4504451089434</v>
      </c>
      <c r="V204" s="89">
        <f t="shared" si="13"/>
        <v>96.306708191842517</v>
      </c>
      <c r="W204" s="125">
        <f t="shared" si="14"/>
        <v>44.636170884466779</v>
      </c>
    </row>
    <row r="205" spans="2:23" ht="12.75" customHeight="1" x14ac:dyDescent="0.2">
      <c r="B205" s="48"/>
      <c r="C205" s="90">
        <v>23.99</v>
      </c>
      <c r="D205" s="81">
        <f t="shared" si="15"/>
        <v>150.73361551923827</v>
      </c>
      <c r="E205" s="82" t="str">
        <f t="shared" si="16"/>
        <v>150.733615519238i</v>
      </c>
      <c r="F205" s="83" t="str">
        <f t="shared" si="0"/>
        <v>-9.35369158771222+2.96379874187079i</v>
      </c>
      <c r="G205" s="84" t="str">
        <f t="shared" si="1"/>
        <v>-0.000175033312122087-0.000326296361762793i</v>
      </c>
      <c r="H205" s="84" t="str">
        <f t="shared" si="2"/>
        <v>0.049183830339279-0.0263834039724694i</v>
      </c>
      <c r="I205" s="85">
        <f t="shared" si="19"/>
        <v>0.37027824139701138</v>
      </c>
      <c r="J205" s="70">
        <f t="shared" si="20"/>
        <v>0</v>
      </c>
      <c r="K205" s="84" t="str">
        <f t="shared" si="4"/>
        <v>-0.597146394255376+0.613875828915788i</v>
      </c>
      <c r="L205" s="86">
        <f t="shared" si="17"/>
        <v>0.8564037304328157</v>
      </c>
      <c r="M205" s="72">
        <f t="shared" si="5"/>
        <v>65.103928868117407</v>
      </c>
      <c r="N205" s="72">
        <f t="shared" si="6"/>
        <v>73.549519427592557</v>
      </c>
      <c r="O205" s="72">
        <f t="shared" si="7"/>
        <v>69.802315654623129</v>
      </c>
      <c r="P205" s="73">
        <f t="shared" si="18"/>
        <v>10.889539349782181</v>
      </c>
      <c r="Q205" s="74">
        <f t="shared" si="8"/>
        <v>-30.874522396454399</v>
      </c>
      <c r="R205" s="87">
        <f t="shared" si="21"/>
        <v>8.4797371256323402</v>
      </c>
      <c r="S205" s="72">
        <f t="shared" si="22"/>
        <v>19.612490542469647</v>
      </c>
      <c r="T205" s="88">
        <f t="shared" si="23"/>
        <v>92.301012803872169</v>
      </c>
      <c r="U205" s="88">
        <f t="shared" si="24"/>
        <v>100.74660336334733</v>
      </c>
      <c r="V205" s="89">
        <f t="shared" si="13"/>
        <v>96.999399590377891</v>
      </c>
      <c r="W205" s="125">
        <f t="shared" si="14"/>
        <v>48.161375834420809</v>
      </c>
    </row>
    <row r="206" spans="2:23" ht="12.75" customHeight="1" x14ac:dyDescent="0.2">
      <c r="B206" s="48"/>
      <c r="C206" s="90">
        <v>24.55</v>
      </c>
      <c r="D206" s="81">
        <f t="shared" si="15"/>
        <v>154.25219929125885</v>
      </c>
      <c r="E206" s="82" t="str">
        <f t="shared" si="16"/>
        <v>154.252199291259i</v>
      </c>
      <c r="F206" s="83" t="str">
        <f t="shared" si="0"/>
        <v>-10.4550143405349+3.70005420823247i</v>
      </c>
      <c r="G206" s="84" t="str">
        <f t="shared" si="1"/>
        <v>-0.000171057133611862-0.000291738042010929i</v>
      </c>
      <c r="H206" s="84" t="str">
        <f t="shared" si="2"/>
        <v>0.0450012345971115-0.0263859390640885i</v>
      </c>
      <c r="I206" s="85">
        <f t="shared" si="19"/>
        <v>0.33818874628804102</v>
      </c>
      <c r="J206" s="70">
        <f t="shared" si="20"/>
        <v>0</v>
      </c>
      <c r="K206" s="84" t="str">
        <f t="shared" si="4"/>
        <v>-0.55678088835553+0.660583191334367i</v>
      </c>
      <c r="L206" s="86">
        <f t="shared" si="17"/>
        <v>0.86393003785692624</v>
      </c>
      <c r="M206" s="72">
        <f t="shared" si="5"/>
        <v>64.717397994068293</v>
      </c>
      <c r="N206" s="72">
        <f t="shared" si="6"/>
        <v>73.825944873546661</v>
      </c>
      <c r="O206" s="72">
        <f t="shared" si="7"/>
        <v>70.473529060702489</v>
      </c>
      <c r="P206" s="73">
        <f t="shared" si="18"/>
        <v>10.170850804681974</v>
      </c>
      <c r="Q206" s="74">
        <f t="shared" si="8"/>
        <v>-28.642184867442094</v>
      </c>
      <c r="R206" s="87">
        <f t="shared" si="21"/>
        <v>7.7448560211102491</v>
      </c>
      <c r="S206" s="72">
        <f t="shared" si="22"/>
        <v>19.784850409585694</v>
      </c>
      <c r="T206" s="88">
        <f t="shared" si="23"/>
        <v>91.914481929823069</v>
      </c>
      <c r="U206" s="88">
        <f t="shared" si="24"/>
        <v>101.02302880930142</v>
      </c>
      <c r="V206" s="89">
        <f t="shared" si="13"/>
        <v>97.670612996457265</v>
      </c>
      <c r="W206" s="125">
        <f t="shared" si="14"/>
        <v>51.564535490693729</v>
      </c>
    </row>
    <row r="207" spans="2:23" ht="12.75" customHeight="1" x14ac:dyDescent="0.2">
      <c r="B207" s="48"/>
      <c r="C207" s="90">
        <v>25.12</v>
      </c>
      <c r="D207" s="81">
        <f t="shared" si="15"/>
        <v>157.83361491635122</v>
      </c>
      <c r="E207" s="82" t="str">
        <f t="shared" si="16"/>
        <v>157.833614916351i</v>
      </c>
      <c r="F207" s="83" t="str">
        <f t="shared" si="0"/>
        <v>-11.7339141652143+4.69630966697819i</v>
      </c>
      <c r="G207" s="84" t="str">
        <f t="shared" si="1"/>
        <v>-0.000163088450671356-0.000258420993726424i</v>
      </c>
      <c r="H207" s="84" t="str">
        <f t="shared" si="2"/>
        <v>0.0407875196101172-0.0257408397205671i</v>
      </c>
      <c r="I207" s="85">
        <f t="shared" si="19"/>
        <v>0.30558019036078859</v>
      </c>
      <c r="J207" s="70">
        <f t="shared" si="20"/>
        <v>0</v>
      </c>
      <c r="K207" s="84" t="str">
        <f t="shared" si="4"/>
        <v>-0.510193221788832+0.70399734746601i</v>
      </c>
      <c r="L207" s="86">
        <f t="shared" si="17"/>
        <v>0.86943049681871987</v>
      </c>
      <c r="M207" s="72">
        <f t="shared" si="5"/>
        <v>64.235444445676166</v>
      </c>
      <c r="N207" s="72">
        <f t="shared" si="6"/>
        <v>74.080433557345074</v>
      </c>
      <c r="O207" s="72">
        <f t="shared" si="7"/>
        <v>71.120976841385257</v>
      </c>
      <c r="P207" s="73">
        <f t="shared" si="18"/>
        <v>9.5716423645973645</v>
      </c>
      <c r="Q207" s="74">
        <f t="shared" si="8"/>
        <v>-26.108319851791954</v>
      </c>
      <c r="R207" s="87">
        <f t="shared" si="21"/>
        <v>6.9980879116303685</v>
      </c>
      <c r="S207" s="72">
        <f t="shared" si="22"/>
        <v>19.910816347768726</v>
      </c>
      <c r="T207" s="88">
        <f t="shared" si="23"/>
        <v>91.432528381430927</v>
      </c>
      <c r="U207" s="88">
        <f t="shared" si="24"/>
        <v>101.27751749309985</v>
      </c>
      <c r="V207" s="89">
        <f t="shared" si="13"/>
        <v>98.318060777140033</v>
      </c>
      <c r="W207" s="125">
        <f t="shared" si="14"/>
        <v>54.792602701953889</v>
      </c>
    </row>
    <row r="208" spans="2:23" ht="12.75" customHeight="1" x14ac:dyDescent="0.2">
      <c r="B208" s="48"/>
      <c r="C208" s="90">
        <v>25.7</v>
      </c>
      <c r="D208" s="81">
        <f t="shared" si="15"/>
        <v>161.47786239451537</v>
      </c>
      <c r="E208" s="82" t="str">
        <f t="shared" si="16"/>
        <v>161.477862394515i</v>
      </c>
      <c r="F208" s="83" t="str">
        <f t="shared" si="0"/>
        <v>-13.2095415793252+6.07463843302673i</v>
      </c>
      <c r="G208" s="84" t="str">
        <f t="shared" si="1"/>
        <v>-0.000151240828759476-0.000227006538317751i</v>
      </c>
      <c r="H208" s="84" t="str">
        <f t="shared" si="2"/>
        <v>0.036656530557129-0.0244220457348551i</v>
      </c>
      <c r="I208" s="85">
        <f t="shared" si="19"/>
        <v>0.27277418632059319</v>
      </c>
      <c r="J208" s="70">
        <f t="shared" si="20"/>
        <v>0</v>
      </c>
      <c r="K208" s="84" t="str">
        <f t="shared" si="4"/>
        <v>-0.457652319070235+0.743010913318071i</v>
      </c>
      <c r="L208" s="86">
        <f t="shared" si="17"/>
        <v>0.87264589752093502</v>
      </c>
      <c r="M208" s="72">
        <f t="shared" si="5"/>
        <v>63.64554541340847</v>
      </c>
      <c r="N208" s="72">
        <f t="shared" si="6"/>
        <v>74.310766953685757</v>
      </c>
      <c r="O208" s="72">
        <f t="shared" si="7"/>
        <v>71.742364456712835</v>
      </c>
      <c r="P208" s="73">
        <f t="shared" si="18"/>
        <v>9.0748367158061356</v>
      </c>
      <c r="Q208" s="74">
        <f t="shared" si="8"/>
        <v>-23.31913185430863</v>
      </c>
      <c r="R208" s="87">
        <f t="shared" si="21"/>
        <v>6.246798045518525</v>
      </c>
      <c r="S208" s="72">
        <f t="shared" si="22"/>
        <v>19.984452196868279</v>
      </c>
      <c r="T208" s="88">
        <f t="shared" si="23"/>
        <v>90.842629349163246</v>
      </c>
      <c r="U208" s="88">
        <f t="shared" si="24"/>
        <v>101.50785088944053</v>
      </c>
      <c r="V208" s="89">
        <f t="shared" si="13"/>
        <v>98.939448392467597</v>
      </c>
      <c r="W208" s="125">
        <f t="shared" si="14"/>
        <v>57.792246154148664</v>
      </c>
    </row>
    <row r="209" spans="2:23" ht="12.75" customHeight="1" x14ac:dyDescent="0.2">
      <c r="B209" s="48"/>
      <c r="C209" s="90">
        <v>26.3</v>
      </c>
      <c r="D209" s="81">
        <f t="shared" si="15"/>
        <v>165.24777357882311</v>
      </c>
      <c r="E209" s="82" t="str">
        <f t="shared" si="16"/>
        <v>165.247773578823i</v>
      </c>
      <c r="F209" s="83" t="str">
        <f t="shared" si="0"/>
        <v>-14.9052172007693+8.06505165475011i</v>
      </c>
      <c r="G209" s="84" t="str">
        <f t="shared" si="1"/>
        <v>-0.000135481661946309-0.000197699729736742i</v>
      </c>
      <c r="H209" s="84" t="str">
        <f t="shared" si="2"/>
        <v>0.0326694401761316-0.0223880429973863i</v>
      </c>
      <c r="I209" s="85">
        <f t="shared" si="19"/>
        <v>0.23966740258473779</v>
      </c>
      <c r="J209" s="70">
        <f t="shared" si="20"/>
        <v>0</v>
      </c>
      <c r="K209" s="84" t="str">
        <f t="shared" si="4"/>
        <v>-0.398655381149191+0.777026456238531i</v>
      </c>
      <c r="L209" s="86">
        <f t="shared" si="17"/>
        <v>0.87332481163300091</v>
      </c>
      <c r="M209" s="72">
        <f t="shared" si="5"/>
        <v>62.922564424627538</v>
      </c>
      <c r="N209" s="72">
        <f t="shared" si="6"/>
        <v>74.517974407917407</v>
      </c>
      <c r="O209" s="72">
        <f t="shared" si="7"/>
        <v>72.345173443064823</v>
      </c>
      <c r="P209" s="73">
        <f t="shared" si="18"/>
        <v>8.6609625389820071</v>
      </c>
      <c r="Q209" s="74">
        <f t="shared" si="8"/>
        <v>-20.263216529282783</v>
      </c>
      <c r="R209" s="87">
        <f t="shared" si="21"/>
        <v>5.4886200275609189</v>
      </c>
      <c r="S209" s="72">
        <f t="shared" si="22"/>
        <v>20</v>
      </c>
      <c r="T209" s="88">
        <f t="shared" si="23"/>
        <v>90.119648360382314</v>
      </c>
      <c r="U209" s="88">
        <f t="shared" si="24"/>
        <v>101.71505834367218</v>
      </c>
      <c r="V209" s="89">
        <f t="shared" si="13"/>
        <v>99.542257378819585</v>
      </c>
      <c r="W209" s="125">
        <f t="shared" si="14"/>
        <v>60.553915910392263</v>
      </c>
    </row>
    <row r="210" spans="2:23" ht="12.75" customHeight="1" x14ac:dyDescent="0.2">
      <c r="B210" s="48"/>
      <c r="C210" s="90">
        <v>26.92</v>
      </c>
      <c r="D210" s="81">
        <f t="shared" si="15"/>
        <v>169.14334846927449</v>
      </c>
      <c r="E210" s="82" t="str">
        <f t="shared" si="16"/>
        <v>169.143348469274i</v>
      </c>
      <c r="F210" s="83" t="str">
        <f t="shared" si="0"/>
        <v>-16.7388504398661+11.0156033980868i</v>
      </c>
      <c r="G210" s="84" t="str">
        <f t="shared" si="1"/>
        <v>-0.000116083452942491-0.00017132948837273i</v>
      </c>
      <c r="H210" s="84" t="str">
        <f t="shared" si="2"/>
        <v>0.0289792433548911-0.0196347439325683i</v>
      </c>
      <c r="I210" s="85">
        <f t="shared" si="19"/>
        <v>0.20695207569172375</v>
      </c>
      <c r="J210" s="70">
        <f t="shared" si="20"/>
        <v>0</v>
      </c>
      <c r="K210" s="84" t="str">
        <f t="shared" si="4"/>
        <v>-0.333815567056946+0.804621425650882i</v>
      </c>
      <c r="L210" s="86">
        <f t="shared" si="17"/>
        <v>0.87111909141403177</v>
      </c>
      <c r="M210" s="72">
        <f t="shared" si="5"/>
        <v>62.052553056153002</v>
      </c>
      <c r="N210" s="72">
        <f t="shared" si="6"/>
        <v>74.698395208147701</v>
      </c>
      <c r="O210" s="72">
        <f t="shared" si="7"/>
        <v>72.925248415444713</v>
      </c>
      <c r="P210" s="73">
        <f t="shared" si="18"/>
        <v>8.3237085353835312</v>
      </c>
      <c r="Q210" s="74">
        <f t="shared" si="8"/>
        <v>-16.972552810138627</v>
      </c>
      <c r="R210" s="87">
        <f t="shared" si="21"/>
        <v>4.7394067576014693</v>
      </c>
      <c r="S210" s="72">
        <f t="shared" si="22"/>
        <v>19.949486830338767</v>
      </c>
      <c r="T210" s="88">
        <f t="shared" si="23"/>
        <v>89.249636991907778</v>
      </c>
      <c r="U210" s="88">
        <f t="shared" si="24"/>
        <v>101.89547914390246</v>
      </c>
      <c r="V210" s="89">
        <f t="shared" si="13"/>
        <v>100.12233235119947</v>
      </c>
      <c r="W210" s="125">
        <f t="shared" si="14"/>
        <v>63.007395688970796</v>
      </c>
    </row>
    <row r="211" spans="2:23" ht="12.75" customHeight="1" x14ac:dyDescent="0.2">
      <c r="B211" s="48"/>
      <c r="C211" s="90">
        <v>27.54</v>
      </c>
      <c r="D211" s="81">
        <f t="shared" si="15"/>
        <v>173.0389233597258</v>
      </c>
      <c r="E211" s="82" t="str">
        <f t="shared" si="16"/>
        <v>173.038923359726i</v>
      </c>
      <c r="F211" s="83" t="str">
        <f t="shared" si="0"/>
        <v>-18.3417293794306+15.2940486517943i</v>
      </c>
      <c r="G211" s="84" t="str">
        <f t="shared" si="1"/>
        <v>-0.0000942707336176398-0.000149322635022312i</v>
      </c>
      <c r="H211" s="84" t="str">
        <f t="shared" si="2"/>
        <v>0.0258386279974982-0.0163125062495279i</v>
      </c>
      <c r="I211" s="85">
        <f t="shared" si="19"/>
        <v>0.1765905448964202</v>
      </c>
      <c r="J211" s="70">
        <f t="shared" si="20"/>
        <v>0</v>
      </c>
      <c r="K211" s="84" t="str">
        <f t="shared" si="4"/>
        <v>-0.266327834561392+0.823967050681438i</v>
      </c>
      <c r="L211" s="86">
        <f t="shared" si="17"/>
        <v>0.8659400764896078</v>
      </c>
      <c r="M211" s="72">
        <f t="shared" si="5"/>
        <v>61.070061470666062</v>
      </c>
      <c r="N211" s="72">
        <f t="shared" si="6"/>
        <v>74.844378972010659</v>
      </c>
      <c r="O211" s="72">
        <f t="shared" si="7"/>
        <v>73.462005598172752</v>
      </c>
      <c r="P211" s="73">
        <f t="shared" si="18"/>
        <v>8.0653210370853241</v>
      </c>
      <c r="Q211" s="74">
        <f t="shared" si="8"/>
        <v>-13.59119695917844</v>
      </c>
      <c r="R211" s="87">
        <f t="shared" si="21"/>
        <v>4.0440977410505363</v>
      </c>
      <c r="S211" s="72">
        <f t="shared" si="22"/>
        <v>19.830882277818613</v>
      </c>
      <c r="T211" s="88">
        <f t="shared" si="23"/>
        <v>88.267145406420838</v>
      </c>
      <c r="U211" s="88">
        <f t="shared" si="24"/>
        <v>102.04146290776544</v>
      </c>
      <c r="V211" s="89">
        <f t="shared" si="13"/>
        <v>100.65908953392753</v>
      </c>
      <c r="W211" s="125">
        <f t="shared" si="14"/>
        <v>65.025954314411678</v>
      </c>
    </row>
    <row r="212" spans="2:23" ht="12.75" customHeight="1" x14ac:dyDescent="0.2">
      <c r="B212" s="48"/>
      <c r="C212" s="90">
        <v>28.18</v>
      </c>
      <c r="D212" s="81">
        <f t="shared" si="15"/>
        <v>177.06016195632074</v>
      </c>
      <c r="E212" s="82" t="str">
        <f t="shared" si="16"/>
        <v>177.060161956321i</v>
      </c>
      <c r="F212" s="83" t="str">
        <f t="shared" si="0"/>
        <v>-18.9148575212535+21.5735776811151i</v>
      </c>
      <c r="G212" s="84" t="str">
        <f t="shared" si="1"/>
        <v>-0.0000700917361130517-0.000131418921900912i</v>
      </c>
      <c r="H212" s="84" t="str">
        <f t="shared" si="2"/>
        <v>0.0232690555959006-0.0124104541479766i</v>
      </c>
      <c r="I212" s="85">
        <f t="shared" si="19"/>
        <v>0.14894221867872015</v>
      </c>
      <c r="J212" s="70">
        <f t="shared" si="20"/>
        <v>0</v>
      </c>
      <c r="K212" s="84" t="str">
        <f t="shared" si="4"/>
        <v>-0.195379995537365+0.834976100867633i</v>
      </c>
      <c r="L212" s="86">
        <f t="shared" si="17"/>
        <v>0.85753042609361474</v>
      </c>
      <c r="M212" s="72">
        <f t="shared" si="5"/>
        <v>59.990151030130335</v>
      </c>
      <c r="N212" s="72">
        <f t="shared" si="6"/>
        <v>74.959154000451008</v>
      </c>
      <c r="O212" s="72">
        <f t="shared" si="7"/>
        <v>73.97124902638059</v>
      </c>
      <c r="P212" s="73">
        <f t="shared" si="18"/>
        <v>7.8706811809427952</v>
      </c>
      <c r="Q212" s="74">
        <f t="shared" si="8"/>
        <v>-10.047615742905972</v>
      </c>
      <c r="R212" s="87">
        <f t="shared" si="21"/>
        <v>3.4109237867688216</v>
      </c>
      <c r="S212" s="72">
        <f t="shared" si="22"/>
        <v>19.638292984946741</v>
      </c>
      <c r="T212" s="88">
        <f t="shared" si="23"/>
        <v>87.187234965885096</v>
      </c>
      <c r="U212" s="88">
        <f t="shared" si="24"/>
        <v>102.15623793620577</v>
      </c>
      <c r="V212" s="89">
        <f t="shared" si="13"/>
        <v>101.16833296213537</v>
      </c>
      <c r="W212" s="125">
        <f t="shared" si="14"/>
        <v>66.634028901898901</v>
      </c>
    </row>
    <row r="213" spans="2:23" ht="12.75" customHeight="1" x14ac:dyDescent="0.2">
      <c r="B213" s="48"/>
      <c r="C213" s="90">
        <v>28.84</v>
      </c>
      <c r="D213" s="81">
        <f t="shared" si="15"/>
        <v>181.20706425905928</v>
      </c>
      <c r="E213" s="82" t="str">
        <f t="shared" si="16"/>
        <v>181.207064259059i</v>
      </c>
      <c r="F213" s="83" t="str">
        <f t="shared" si="0"/>
        <v>-16.5254031892967+29.9253943217884i</v>
      </c>
      <c r="G213" s="84" t="str">
        <f t="shared" si="1"/>
        <v>-0.0000443525664233715-0.000118122988683752i</v>
      </c>
      <c r="H213" s="84" t="str">
        <f t="shared" si="2"/>
        <v>0.0214047200008887-0.00803699835393406i</v>
      </c>
      <c r="I213" s="85">
        <f t="shared" si="19"/>
        <v>0.12617523768125577</v>
      </c>
      <c r="J213" s="70">
        <f t="shared" si="20"/>
        <v>0</v>
      </c>
      <c r="K213" s="84" t="str">
        <f t="shared" si="4"/>
        <v>-0.122501585746025+0.836822451653594i</v>
      </c>
      <c r="L213" s="86">
        <f t="shared" si="17"/>
        <v>0.8457413635987201</v>
      </c>
      <c r="M213" s="72">
        <f t="shared" si="5"/>
        <v>58.951447972985164</v>
      </c>
      <c r="N213" s="72">
        <f t="shared" si="6"/>
        <v>75.040000014072334</v>
      </c>
      <c r="O213" s="72">
        <f t="shared" si="7"/>
        <v>74.449821250124216</v>
      </c>
      <c r="P213" s="73">
        <f t="shared" si="18"/>
        <v>7.7378495495259161</v>
      </c>
      <c r="Q213" s="74">
        <f t="shared" si="8"/>
        <v>-6.3774357729464226</v>
      </c>
      <c r="R213" s="87">
        <f t="shared" si="21"/>
        <v>2.8895374550351987</v>
      </c>
      <c r="S213" s="72">
        <f t="shared" si="22"/>
        <v>19.368311820141617</v>
      </c>
      <c r="T213" s="88">
        <f t="shared" si="23"/>
        <v>86.148531908739926</v>
      </c>
      <c r="U213" s="88">
        <f t="shared" si="24"/>
        <v>102.23708394982711</v>
      </c>
      <c r="V213" s="89">
        <f t="shared" si="13"/>
        <v>101.64690518587898</v>
      </c>
      <c r="W213" s="125">
        <f t="shared" si="14"/>
        <v>67.777900556454512</v>
      </c>
    </row>
    <row r="214" spans="2:23" ht="12.75" customHeight="1" x14ac:dyDescent="0.2">
      <c r="B214" s="48"/>
      <c r="C214" s="90">
        <v>29.51</v>
      </c>
      <c r="D214" s="81">
        <f t="shared" si="15"/>
        <v>185.41679841486959</v>
      </c>
      <c r="E214" s="82" t="str">
        <f t="shared" si="16"/>
        <v>185.41679841487i</v>
      </c>
      <c r="F214" s="83" t="str">
        <f t="shared" si="0"/>
        <v>-8.74794100692344+37.9413028235415i</v>
      </c>
      <c r="G214" s="84" t="str">
        <f t="shared" si="1"/>
        <v>-0.000018374448871472-0.000109818101096805i</v>
      </c>
      <c r="H214" s="84" t="str">
        <f t="shared" si="2"/>
        <v>0.0203621207133701-0.00340693148238606i</v>
      </c>
      <c r="I214" s="85">
        <f t="shared" si="19"/>
        <v>0.11134467072939963</v>
      </c>
      <c r="J214" s="70">
        <f t="shared" si="20"/>
        <v>0</v>
      </c>
      <c r="K214" s="84" t="str">
        <f t="shared" si="4"/>
        <v>-0.0504993862061897+0.829236183961011i</v>
      </c>
      <c r="L214" s="86">
        <f t="shared" si="17"/>
        <v>0.83077243382133326</v>
      </c>
      <c r="M214" s="72">
        <f t="shared" si="5"/>
        <v>58.264312187131772</v>
      </c>
      <c r="N214" s="72">
        <f t="shared" si="6"/>
        <v>75.084369202804837</v>
      </c>
      <c r="O214" s="72">
        <f t="shared" si="7"/>
        <v>74.888934115754367</v>
      </c>
      <c r="P214" s="73">
        <f t="shared" si="18"/>
        <v>7.6663971909919155</v>
      </c>
      <c r="Q214" s="74">
        <f t="shared" si="8"/>
        <v>-2.6739123498037358</v>
      </c>
      <c r="R214" s="87">
        <f t="shared" si="21"/>
        <v>2.5499028367509666</v>
      </c>
      <c r="S214" s="72">
        <f t="shared" si="22"/>
        <v>19.025508556613655</v>
      </c>
      <c r="T214" s="88">
        <f t="shared" si="23"/>
        <v>85.461396122886541</v>
      </c>
      <c r="U214" s="88">
        <f t="shared" si="24"/>
        <v>102.28145313855961</v>
      </c>
      <c r="V214" s="89">
        <f t="shared" si="13"/>
        <v>102.08601805150914</v>
      </c>
      <c r="W214" s="125">
        <f t="shared" si="14"/>
        <v>68.409604175585088</v>
      </c>
    </row>
    <row r="215" spans="2:23" ht="12.75" customHeight="1" x14ac:dyDescent="0.2">
      <c r="B215" s="48"/>
      <c r="C215" s="90">
        <v>30.2</v>
      </c>
      <c r="D215" s="81">
        <f t="shared" si="15"/>
        <v>189.7521962768235</v>
      </c>
      <c r="E215" s="82" t="str">
        <f t="shared" si="16"/>
        <v>189.752196276823i</v>
      </c>
      <c r="F215" s="83" t="str">
        <f t="shared" si="0"/>
        <v>3.77136671627791+40.5417447193631i</v>
      </c>
      <c r="G215" s="84" t="str">
        <f t="shared" si="1"/>
        <v>7.26350577631141E-06-0.000106325728894236i</v>
      </c>
      <c r="H215" s="84" t="str">
        <f t="shared" si="2"/>
        <v>0.0201755405784153+0.00137826617372448i</v>
      </c>
      <c r="I215" s="85">
        <f t="shared" si="19"/>
        <v>0.10657353865314355</v>
      </c>
      <c r="J215" s="70">
        <f t="shared" si="20"/>
        <v>0</v>
      </c>
      <c r="K215" s="84" t="str">
        <f t="shared" si="4"/>
        <v>0.019945224074483+0.812283021129681i</v>
      </c>
      <c r="L215" s="86">
        <f t="shared" si="17"/>
        <v>0.81252785698641949</v>
      </c>
      <c r="M215" s="72">
        <f t="shared" si="5"/>
        <v>58.285420544719777</v>
      </c>
      <c r="N215" s="72">
        <f t="shared" si="6"/>
        <v>75.092247507911736</v>
      </c>
      <c r="O215" s="72">
        <f t="shared" si="7"/>
        <v>75.294267489564717</v>
      </c>
      <c r="P215" s="73">
        <f t="shared" si="18"/>
        <v>7.6538150451591269</v>
      </c>
      <c r="Q215" s="74">
        <f t="shared" si="8"/>
        <v>1.079621576547622</v>
      </c>
      <c r="R215" s="87">
        <f t="shared" si="21"/>
        <v>2.4406392039604428</v>
      </c>
      <c r="S215" s="72">
        <f t="shared" si="22"/>
        <v>18.607689742997245</v>
      </c>
      <c r="T215" s="88">
        <f t="shared" si="23"/>
        <v>85.482504480474546</v>
      </c>
      <c r="U215" s="88">
        <f t="shared" si="24"/>
        <v>102.2893314436665</v>
      </c>
      <c r="V215" s="89">
        <f t="shared" si="13"/>
        <v>102.49135142531949</v>
      </c>
      <c r="W215" s="125">
        <f t="shared" si="14"/>
        <v>68.522063074973403</v>
      </c>
    </row>
    <row r="216" spans="2:23" ht="12.75" customHeight="1" x14ac:dyDescent="0.2">
      <c r="B216" s="48"/>
      <c r="C216" s="90">
        <v>30.9</v>
      </c>
      <c r="D216" s="81">
        <f t="shared" si="15"/>
        <v>194.1504259918492</v>
      </c>
      <c r="E216" s="82" t="str">
        <f t="shared" si="16"/>
        <v>194.150425991849i</v>
      </c>
      <c r="F216" s="83" t="str">
        <f t="shared" si="0"/>
        <v>14.784481929479+35.7213614528816i</v>
      </c>
      <c r="G216" s="84" t="str">
        <f t="shared" si="1"/>
        <v>0.0000312763088234155-0.000107411733868324i</v>
      </c>
      <c r="H216" s="84" t="str">
        <f t="shared" si="2"/>
        <v>0.0208540338870582+0.00607230868151875i</v>
      </c>
      <c r="I216" s="85">
        <f t="shared" si="19"/>
        <v>0.11187264217053834</v>
      </c>
      <c r="J216" s="70">
        <f t="shared" si="20"/>
        <v>0</v>
      </c>
      <c r="K216" s="84" t="str">
        <f t="shared" si="4"/>
        <v>0.0861579356149976+0.786794627394085i</v>
      </c>
      <c r="L216" s="86">
        <f t="shared" si="17"/>
        <v>0.79149793149801428</v>
      </c>
      <c r="M216" s="72">
        <f t="shared" si="5"/>
        <v>59.104972182471158</v>
      </c>
      <c r="N216" s="72">
        <f t="shared" si="6"/>
        <v>75.063508733373084</v>
      </c>
      <c r="O216" s="72">
        <f t="shared" si="7"/>
        <v>75.659748044281955</v>
      </c>
      <c r="P216" s="73">
        <f t="shared" si="18"/>
        <v>7.6998652266194467</v>
      </c>
      <c r="Q216" s="74">
        <f t="shared" si="8"/>
        <v>4.7904671724838961</v>
      </c>
      <c r="R216" s="87">
        <f t="shared" si="21"/>
        <v>2.5619939037653454</v>
      </c>
      <c r="S216" s="72">
        <f t="shared" si="22"/>
        <v>18.126083696580629</v>
      </c>
      <c r="T216" s="88">
        <f t="shared" si="23"/>
        <v>86.30205611822592</v>
      </c>
      <c r="U216" s="88">
        <f t="shared" si="24"/>
        <v>102.26059266912785</v>
      </c>
      <c r="V216" s="89">
        <f t="shared" si="13"/>
        <v>102.85683198003673</v>
      </c>
      <c r="W216" s="125">
        <f t="shared" si="14"/>
        <v>68.112256754243376</v>
      </c>
    </row>
    <row r="217" spans="2:23" ht="12.75" customHeight="1" x14ac:dyDescent="0.2">
      <c r="B217" s="48"/>
      <c r="C217" s="90">
        <v>31.62</v>
      </c>
      <c r="D217" s="81">
        <f t="shared" si="15"/>
        <v>198.67431941301851</v>
      </c>
      <c r="E217" s="82" t="str">
        <f t="shared" si="16"/>
        <v>198.674319413019i</v>
      </c>
      <c r="F217" s="83" t="str">
        <f t="shared" si="0"/>
        <v>20.4451081033753+27.754779602785i</v>
      </c>
      <c r="G217" s="84" t="str">
        <f t="shared" si="1"/>
        <v>0.0000531977927755695-0.000112591921449166i</v>
      </c>
      <c r="H217" s="84" t="str">
        <f t="shared" si="2"/>
        <v>0.0223691233653171+0.0105690352739611i</v>
      </c>
      <c r="I217" s="85">
        <f t="shared" si="19"/>
        <v>0.12452688838884399</v>
      </c>
      <c r="J217" s="70">
        <f t="shared" si="20"/>
        <v>0</v>
      </c>
      <c r="K217" s="84" t="str">
        <f t="shared" si="4"/>
        <v>0.147624033445191+0.753373934335633i</v>
      </c>
      <c r="L217" s="86">
        <f t="shared" si="17"/>
        <v>0.76770120501857853</v>
      </c>
      <c r="M217" s="72">
        <f t="shared" si="5"/>
        <v>60.435892451174951</v>
      </c>
      <c r="N217" s="72">
        <f t="shared" si="6"/>
        <v>74.998425218434605</v>
      </c>
      <c r="O217" s="72">
        <f t="shared" si="7"/>
        <v>75.991108066527801</v>
      </c>
      <c r="P217" s="73">
        <f t="shared" si="18"/>
        <v>7.8057270515192805</v>
      </c>
      <c r="Q217" s="74">
        <f t="shared" si="8"/>
        <v>8.4735971601764142</v>
      </c>
      <c r="R217" s="87">
        <f t="shared" si="21"/>
        <v>2.8517886296164039</v>
      </c>
      <c r="S217" s="72">
        <f t="shared" si="22"/>
        <v>17.581115177137352</v>
      </c>
      <c r="T217" s="88">
        <f t="shared" si="23"/>
        <v>87.632976386929727</v>
      </c>
      <c r="U217" s="88">
        <f t="shared" si="24"/>
        <v>102.19550915418938</v>
      </c>
      <c r="V217" s="89">
        <f t="shared" si="13"/>
        <v>103.18819200228256</v>
      </c>
      <c r="W217" s="125">
        <f t="shared" si="14"/>
        <v>67.188513488502736</v>
      </c>
    </row>
    <row r="218" spans="2:23" ht="12.75" customHeight="1" x14ac:dyDescent="0.2">
      <c r="B218" s="48"/>
      <c r="C218" s="90">
        <v>32.36</v>
      </c>
      <c r="D218" s="81">
        <f t="shared" si="15"/>
        <v>203.32387654033141</v>
      </c>
      <c r="E218" s="82" t="str">
        <f t="shared" si="16"/>
        <v>203.323876540331i</v>
      </c>
      <c r="F218" s="83" t="str">
        <f t="shared" si="0"/>
        <v>21.8701080175408+20.6093619328882i</v>
      </c>
      <c r="G218" s="84" t="str">
        <f t="shared" si="1"/>
        <v>0.0000723186313551621-0.000121274672063836i</v>
      </c>
      <c r="H218" s="84" t="str">
        <f t="shared" si="2"/>
        <v>0.0246580364501765+0.0147041044732227i</v>
      </c>
      <c r="I218" s="85">
        <f t="shared" si="19"/>
        <v>0.14120032055655823</v>
      </c>
      <c r="J218" s="70">
        <f t="shared" si="20"/>
        <v>0</v>
      </c>
      <c r="K218" s="84" t="str">
        <f t="shared" si="4"/>
        <v>0.203031618479332+0.713151027109617i</v>
      </c>
      <c r="L218" s="86">
        <f t="shared" si="17"/>
        <v>0.74148919450645978</v>
      </c>
      <c r="M218" s="72">
        <f t="shared" si="5"/>
        <v>61.929209271882826</v>
      </c>
      <c r="N218" s="72">
        <f t="shared" si="6"/>
        <v>74.897610250819255</v>
      </c>
      <c r="O218" s="72">
        <f t="shared" si="7"/>
        <v>76.288615453300608</v>
      </c>
      <c r="P218" s="73">
        <f t="shared" si="18"/>
        <v>7.974145874366716</v>
      </c>
      <c r="Q218" s="74">
        <f t="shared" si="8"/>
        <v>12.088838576318329</v>
      </c>
      <c r="R218" s="87">
        <f t="shared" si="21"/>
        <v>3.2336266799183795</v>
      </c>
      <c r="S218" s="72">
        <f t="shared" si="22"/>
        <v>16.980834269897219</v>
      </c>
      <c r="T218" s="88">
        <f t="shared" si="23"/>
        <v>89.126293207637588</v>
      </c>
      <c r="U218" s="88">
        <f t="shared" si="24"/>
        <v>102.09469418657403</v>
      </c>
      <c r="V218" s="89">
        <f t="shared" si="13"/>
        <v>103.48569938905538</v>
      </c>
      <c r="W218" s="125">
        <f t="shared" si="14"/>
        <v>65.769451117575031</v>
      </c>
    </row>
    <row r="219" spans="2:23" ht="12.75" customHeight="1" x14ac:dyDescent="0.2">
      <c r="B219" s="48"/>
      <c r="C219" s="90">
        <v>33.11</v>
      </c>
      <c r="D219" s="81">
        <f t="shared" si="15"/>
        <v>208.03626552071609</v>
      </c>
      <c r="E219" s="82" t="str">
        <f t="shared" si="16"/>
        <v>208.036265520716i</v>
      </c>
      <c r="F219" s="83" t="str">
        <f t="shared" si="0"/>
        <v>21.2866746451473+15.3897529610493i</v>
      </c>
      <c r="G219" s="84" t="str">
        <f t="shared" si="1"/>
        <v>0.0000879332009495917-0.000132566122926693i</v>
      </c>
      <c r="H219" s="84" t="str">
        <f t="shared" si="2"/>
        <v>0.0275785611482294+0.0182932947408357i</v>
      </c>
      <c r="I219" s="85">
        <f t="shared" si="19"/>
        <v>0.15907867480293</v>
      </c>
      <c r="J219" s="70">
        <f t="shared" si="20"/>
        <v>0</v>
      </c>
      <c r="K219" s="84" t="str">
        <f t="shared" si="4"/>
        <v>0.250826336175735+0.668125724248165i</v>
      </c>
      <c r="L219" s="86">
        <f t="shared" si="17"/>
        <v>0.71365666417506235</v>
      </c>
      <c r="M219" s="72">
        <f t="shared" si="5"/>
        <v>63.362761620294748</v>
      </c>
      <c r="N219" s="72">
        <f t="shared" si="6"/>
        <v>74.764313588021196</v>
      </c>
      <c r="O219" s="72">
        <f t="shared" si="7"/>
        <v>76.54999110042543</v>
      </c>
      <c r="P219" s="73">
        <f t="shared" si="18"/>
        <v>8.2054894334673101</v>
      </c>
      <c r="Q219" s="74">
        <f t="shared" si="8"/>
        <v>15.551669155998271</v>
      </c>
      <c r="R219" s="87">
        <f t="shared" si="21"/>
        <v>3.6430586348617329</v>
      </c>
      <c r="S219" s="72">
        <f t="shared" si="22"/>
        <v>16.343441859635696</v>
      </c>
      <c r="T219" s="88">
        <f t="shared" si="23"/>
        <v>90.55984555604951</v>
      </c>
      <c r="U219" s="88">
        <f t="shared" si="24"/>
        <v>101.96139752377596</v>
      </c>
      <c r="V219" s="89">
        <f t="shared" si="13"/>
        <v>103.74707503618021</v>
      </c>
      <c r="W219" s="125">
        <f t="shared" si="14"/>
        <v>63.91516332340948</v>
      </c>
    </row>
    <row r="220" spans="2:23" ht="12.75" customHeight="1" x14ac:dyDescent="0.2">
      <c r="B220" s="48"/>
      <c r="C220" s="90">
        <v>33.880000000000003</v>
      </c>
      <c r="D220" s="81">
        <f t="shared" si="15"/>
        <v>212.87431820724439</v>
      </c>
      <c r="E220" s="82" t="str">
        <f t="shared" si="16"/>
        <v>212.874318207244i</v>
      </c>
      <c r="F220" s="83" t="str">
        <f t="shared" si="0"/>
        <v>20.008386554362+11.7214692484513i</v>
      </c>
      <c r="G220" s="84" t="str">
        <f t="shared" si="1"/>
        <v>0.000100013654869424-0.00014579368775087i</v>
      </c>
      <c r="H220" s="84" t="str">
        <f t="shared" si="2"/>
        <v>0.0310357318788863+0.0212903385917432i</v>
      </c>
      <c r="I220" s="85">
        <f t="shared" si="19"/>
        <v>0.17680082168456809</v>
      </c>
      <c r="J220" s="70">
        <f t="shared" si="20"/>
        <v>0</v>
      </c>
      <c r="K220" s="84" t="str">
        <f t="shared" si="4"/>
        <v>0.291220545222679+0.619235968529247i</v>
      </c>
      <c r="L220" s="86">
        <f t="shared" si="17"/>
        <v>0.68429715086367926</v>
      </c>
      <c r="M220" s="72">
        <f t="shared" si="5"/>
        <v>64.679576748796649</v>
      </c>
      <c r="N220" s="72">
        <f t="shared" si="6"/>
        <v>74.599106129244035</v>
      </c>
      <c r="O220" s="72">
        <f t="shared" si="7"/>
        <v>76.780935329624796</v>
      </c>
      <c r="P220" s="73">
        <f t="shared" si="18"/>
        <v>8.5067619685106184</v>
      </c>
      <c r="Q220" s="74">
        <f t="shared" si="8"/>
        <v>18.874033786794705</v>
      </c>
      <c r="R220" s="87">
        <f t="shared" si="21"/>
        <v>4.0489132870042743</v>
      </c>
      <c r="S220" s="72">
        <f t="shared" si="22"/>
        <v>15.671080032276533</v>
      </c>
      <c r="T220" s="88">
        <f t="shared" si="23"/>
        <v>91.87666068455141</v>
      </c>
      <c r="U220" s="88">
        <f t="shared" si="24"/>
        <v>101.7961900649988</v>
      </c>
      <c r="V220" s="89">
        <f t="shared" si="13"/>
        <v>103.97801926537957</v>
      </c>
      <c r="W220" s="125">
        <f t="shared" si="14"/>
        <v>61.651566040044862</v>
      </c>
    </row>
    <row r="221" spans="2:23" ht="12.75" customHeight="1" x14ac:dyDescent="0.2">
      <c r="B221" s="48"/>
      <c r="C221" s="90">
        <v>34.67</v>
      </c>
      <c r="D221" s="81">
        <f t="shared" si="15"/>
        <v>217.83803459991626</v>
      </c>
      <c r="E221" s="82" t="str">
        <f t="shared" si="16"/>
        <v>217.838034599916i</v>
      </c>
      <c r="F221" s="83" t="str">
        <f t="shared" si="0"/>
        <v>18.5954938488996+9.14881891240408i</v>
      </c>
      <c r="G221" s="84" t="str">
        <f t="shared" si="1"/>
        <v>0.000108450052469787-0.00016017606255157i</v>
      </c>
      <c r="H221" s="84" t="str">
        <f t="shared" si="2"/>
        <v>0.0348924386561872+0.0236245462822762i</v>
      </c>
      <c r="I221" s="85">
        <f t="shared" si="19"/>
        <v>0.19343677234492934</v>
      </c>
      <c r="J221" s="70">
        <f t="shared" si="20"/>
        <v>0</v>
      </c>
      <c r="K221" s="84" t="str">
        <f t="shared" si="4"/>
        <v>0.323986693710824+0.567950234792325i</v>
      </c>
      <c r="L221" s="86">
        <f t="shared" si="17"/>
        <v>0.65386148908031616</v>
      </c>
      <c r="M221" s="72">
        <f t="shared" si="5"/>
        <v>65.861089507440354</v>
      </c>
      <c r="N221" s="72">
        <f t="shared" si="6"/>
        <v>74.404135477364264</v>
      </c>
      <c r="O221" s="72">
        <f t="shared" si="7"/>
        <v>76.983299582371302</v>
      </c>
      <c r="P221" s="73">
        <f t="shared" si="18"/>
        <v>8.8846657632993367</v>
      </c>
      <c r="Q221" s="74">
        <f t="shared" si="8"/>
        <v>22.018201326489507</v>
      </c>
      <c r="R221" s="87">
        <f t="shared" si="21"/>
        <v>4.4298929738003983</v>
      </c>
      <c r="S221" s="72">
        <f t="shared" si="22"/>
        <v>14.974073342945163</v>
      </c>
      <c r="T221" s="88">
        <f t="shared" si="23"/>
        <v>93.05817344319513</v>
      </c>
      <c r="U221" s="88">
        <f t="shared" si="24"/>
        <v>101.60121941311903</v>
      </c>
      <c r="V221" s="89">
        <f t="shared" si="13"/>
        <v>104.18038351812606</v>
      </c>
      <c r="W221" s="125">
        <f t="shared" si="14"/>
        <v>59.029254589968595</v>
      </c>
    </row>
    <row r="222" spans="2:23" ht="12.75" customHeight="1" x14ac:dyDescent="0.2">
      <c r="B222" s="48"/>
      <c r="C222" s="90">
        <v>35.479999999999997</v>
      </c>
      <c r="D222" s="81">
        <f t="shared" si="15"/>
        <v>222.9274146987317</v>
      </c>
      <c r="E222" s="82" t="str">
        <f t="shared" si="16"/>
        <v>222.927414698732i</v>
      </c>
      <c r="F222" s="83" t="str">
        <f t="shared" si="0"/>
        <v>17.2589660084206+7.31361963732443i</v>
      </c>
      <c r="G222" s="84" t="str">
        <f t="shared" si="1"/>
        <v>0.000113314614143322-0.000174974633740372i</v>
      </c>
      <c r="H222" s="84" t="str">
        <f t="shared" si="2"/>
        <v>0.0390066427375987+0.0252609339785551i</v>
      </c>
      <c r="I222" s="85">
        <f t="shared" si="19"/>
        <v>0.20846180520907728</v>
      </c>
      <c r="J222" s="70">
        <f t="shared" si="20"/>
        <v>0</v>
      </c>
      <c r="K222" s="84" t="str">
        <f t="shared" si="4"/>
        <v>0.349228071134361+0.515662486598494i</v>
      </c>
      <c r="L222" s="86">
        <f t="shared" si="17"/>
        <v>0.62279053120063432</v>
      </c>
      <c r="M222" s="72">
        <f t="shared" si="5"/>
        <v>66.912029433210506</v>
      </c>
      <c r="N222" s="72">
        <f t="shared" si="6"/>
        <v>74.18185570395508</v>
      </c>
      <c r="O222" s="72">
        <f t="shared" si="7"/>
        <v>77.159259175801552</v>
      </c>
      <c r="P222" s="73">
        <f t="shared" si="18"/>
        <v>9.3478586967736028</v>
      </c>
      <c r="Q222" s="74">
        <f t="shared" si="8"/>
        <v>24.946263953679185</v>
      </c>
      <c r="R222" s="87">
        <f t="shared" si="21"/>
        <v>4.7739810533787885</v>
      </c>
      <c r="S222" s="72">
        <f t="shared" si="22"/>
        <v>14.26251774608577</v>
      </c>
      <c r="T222" s="88">
        <f t="shared" si="23"/>
        <v>94.109113368965268</v>
      </c>
      <c r="U222" s="88">
        <f t="shared" si="24"/>
        <v>101.37893963970984</v>
      </c>
      <c r="V222" s="89">
        <f t="shared" si="13"/>
        <v>104.35634311155633</v>
      </c>
      <c r="W222" s="125">
        <f t="shared" si="14"/>
        <v>56.104313757929241</v>
      </c>
    </row>
    <row r="223" spans="2:23" ht="12.75" customHeight="1" x14ac:dyDescent="0.2">
      <c r="B223" s="48"/>
      <c r="C223" s="90">
        <v>36.31</v>
      </c>
      <c r="D223" s="81">
        <f t="shared" si="15"/>
        <v>228.14245850369079</v>
      </c>
      <c r="E223" s="82" t="str">
        <f t="shared" si="16"/>
        <v>228.142458503691i</v>
      </c>
      <c r="F223" s="83" t="str">
        <f t="shared" si="0"/>
        <v>16.0635230766442+5.97422916954425i</v>
      </c>
      <c r="G223" s="84" t="str">
        <f t="shared" si="1"/>
        <v>0.000114829772068301-0.000189535198721215i</v>
      </c>
      <c r="H223" s="84" t="str">
        <f t="shared" si="2"/>
        <v>0.0432410262092436+0.0261975465090807i</v>
      </c>
      <c r="I223" s="85">
        <f t="shared" si="19"/>
        <v>0.22160656151736216</v>
      </c>
      <c r="J223" s="70">
        <f t="shared" si="20"/>
        <v>0</v>
      </c>
      <c r="K223" s="84" t="str">
        <f t="shared" si="4"/>
        <v>0.367322401676096+0.463617687693843i</v>
      </c>
      <c r="L223" s="86">
        <f t="shared" si="17"/>
        <v>0.59149565266000137</v>
      </c>
      <c r="M223" s="72">
        <f t="shared" si="5"/>
        <v>67.844857361737652</v>
      </c>
      <c r="N223" s="72">
        <f t="shared" si="6"/>
        <v>73.934899579327436</v>
      </c>
      <c r="O223" s="72">
        <f t="shared" si="7"/>
        <v>77.311184960365637</v>
      </c>
      <c r="P223" s="73">
        <f t="shared" si="18"/>
        <v>9.9074426495303722</v>
      </c>
      <c r="Q223" s="74">
        <f t="shared" si="8"/>
        <v>27.619027386023962</v>
      </c>
      <c r="R223" s="87">
        <f t="shared" si="21"/>
        <v>5.0750089443350967</v>
      </c>
      <c r="S223" s="72">
        <f t="shared" si="22"/>
        <v>13.545834145121411</v>
      </c>
      <c r="T223" s="88">
        <f t="shared" si="23"/>
        <v>95.041941297492428</v>
      </c>
      <c r="U223" s="88">
        <f t="shared" si="24"/>
        <v>101.1319835150822</v>
      </c>
      <c r="V223" s="89">
        <f t="shared" si="13"/>
        <v>104.5082688961204</v>
      </c>
      <c r="W223" s="125">
        <f t="shared" si="14"/>
        <v>52.935476473682591</v>
      </c>
    </row>
    <row r="224" spans="2:23" ht="12.75" customHeight="1" x14ac:dyDescent="0.2">
      <c r="B224" s="48"/>
      <c r="C224" s="90">
        <v>37.15</v>
      </c>
      <c r="D224" s="81">
        <f t="shared" si="15"/>
        <v>233.42033416172163</v>
      </c>
      <c r="E224" s="82" t="str">
        <f t="shared" si="16"/>
        <v>233.420334161722i</v>
      </c>
      <c r="F224" s="83" t="str">
        <f t="shared" si="0"/>
        <v>15.0285286844639+4.98363742551863i</v>
      </c>
      <c r="G224" s="84" t="str">
        <f t="shared" si="1"/>
        <v>0.000113362214781491-0.00020316031586274i</v>
      </c>
      <c r="H224" s="84" t="str">
        <f t="shared" si="2"/>
        <v>0.0474217488170818+0.0264610460556085i</v>
      </c>
      <c r="I224" s="85">
        <f t="shared" si="19"/>
        <v>0.23264802961042497</v>
      </c>
      <c r="J224" s="70">
        <f t="shared" si="20"/>
        <v>0</v>
      </c>
      <c r="K224" s="84" t="str">
        <f t="shared" si="4"/>
        <v>0.378753456763052+0.413443772324837i</v>
      </c>
      <c r="L224" s="86">
        <f t="shared" si="17"/>
        <v>0.56070485452165719</v>
      </c>
      <c r="M224" s="72">
        <f t="shared" si="5"/>
        <v>68.664495398282</v>
      </c>
      <c r="N224" s="72">
        <f t="shared" si="6"/>
        <v>73.669206146312661</v>
      </c>
      <c r="O224" s="72">
        <f t="shared" si="7"/>
        <v>77.44012549679114</v>
      </c>
      <c r="P224" s="73">
        <f t="shared" si="18"/>
        <v>10.569087464264998</v>
      </c>
      <c r="Q224" s="74">
        <f t="shared" si="8"/>
        <v>29.968536182265051</v>
      </c>
      <c r="R224" s="87">
        <f t="shared" si="21"/>
        <v>5.3278694595978378</v>
      </c>
      <c r="S224" s="72">
        <f t="shared" si="22"/>
        <v>12.840694482805635</v>
      </c>
      <c r="T224" s="88">
        <f t="shared" si="23"/>
        <v>95.861579334036776</v>
      </c>
      <c r="U224" s="88">
        <f t="shared" si="24"/>
        <v>100.86629008206742</v>
      </c>
      <c r="V224" s="89">
        <f t="shared" si="13"/>
        <v>104.63720943254592</v>
      </c>
      <c r="W224" s="125">
        <f t="shared" si="14"/>
        <v>49.621615779205428</v>
      </c>
    </row>
    <row r="225" spans="2:23" ht="12.75" customHeight="1" x14ac:dyDescent="0.2">
      <c r="B225" s="48"/>
      <c r="C225" s="90">
        <v>38.020000000000003</v>
      </c>
      <c r="D225" s="81">
        <f t="shared" si="15"/>
        <v>238.88670537896789</v>
      </c>
      <c r="E225" s="82" t="str">
        <f t="shared" si="16"/>
        <v>238.886705378968i</v>
      </c>
      <c r="F225" s="83" t="str">
        <f t="shared" si="0"/>
        <v>14.1175536256596+4.21680751743193i</v>
      </c>
      <c r="G225" s="84" t="str">
        <f t="shared" si="1"/>
        <v>0.000109275851525184-0.00021575600911178i</v>
      </c>
      <c r="H225" s="84" t="str">
        <f t="shared" si="2"/>
        <v>0.0515412421824277+0.0261045481483325i</v>
      </c>
      <c r="I225" s="85">
        <f t="shared" si="19"/>
        <v>0.24185091935817929</v>
      </c>
      <c r="J225" s="70">
        <f t="shared" si="20"/>
        <v>0</v>
      </c>
      <c r="K225" s="84" t="str">
        <f t="shared" si="4"/>
        <v>0.384499973860785+0.364771517762949i</v>
      </c>
      <c r="L225" s="86">
        <f t="shared" si="17"/>
        <v>0.52999857553584973</v>
      </c>
      <c r="M225" s="72">
        <f t="shared" si="5"/>
        <v>69.403594454778528</v>
      </c>
      <c r="N225" s="72">
        <f t="shared" si="6"/>
        <v>73.381079758380835</v>
      </c>
      <c r="O225" s="72">
        <f t="shared" si="7"/>
        <v>77.551549576790691</v>
      </c>
      <c r="P225" s="73">
        <f t="shared" si="18"/>
        <v>11.366378011532975</v>
      </c>
      <c r="Q225" s="74">
        <f t="shared" si="8"/>
        <v>32.003357906799948</v>
      </c>
      <c r="R225" s="87">
        <f t="shared" si="21"/>
        <v>5.5386247164087861</v>
      </c>
      <c r="S225" s="72">
        <f t="shared" si="22"/>
        <v>12.137490392488061</v>
      </c>
      <c r="T225" s="88">
        <f t="shared" si="23"/>
        <v>96.60067839053329</v>
      </c>
      <c r="U225" s="88">
        <f t="shared" si="24"/>
        <v>100.57816369413561</v>
      </c>
      <c r="V225" s="89">
        <f t="shared" si="13"/>
        <v>104.74863351254547</v>
      </c>
      <c r="W225" s="125">
        <f t="shared" si="14"/>
        <v>46.140925170395633</v>
      </c>
    </row>
    <row r="226" spans="2:23" ht="12.75" customHeight="1" x14ac:dyDescent="0.2">
      <c r="B226" s="48"/>
      <c r="C226" s="90">
        <v>38.9</v>
      </c>
      <c r="D226" s="81">
        <f t="shared" si="15"/>
        <v>244.41590844928589</v>
      </c>
      <c r="E226" s="82" t="str">
        <f t="shared" si="16"/>
        <v>244.415908449286i</v>
      </c>
      <c r="F226" s="83" t="str">
        <f t="shared" si="0"/>
        <v>13.3346355789809+3.6253065765563i</v>
      </c>
      <c r="G226" s="84" t="str">
        <f t="shared" si="1"/>
        <v>0.000103089152723709-0.000226737053005273i</v>
      </c>
      <c r="H226" s="84" t="str">
        <f t="shared" si="2"/>
        <v>0.0554181427893977+0.0251966289142325i</v>
      </c>
      <c r="I226" s="85">
        <f t="shared" si="19"/>
        <v>0.24907240837717889</v>
      </c>
      <c r="J226" s="70">
        <f t="shared" si="20"/>
        <v>0</v>
      </c>
      <c r="K226" s="84" t="str">
        <f t="shared" si="4"/>
        <v>0.385188910095531+0.319325182700709i</v>
      </c>
      <c r="L226" s="86">
        <f t="shared" si="17"/>
        <v>0.50033895387769312</v>
      </c>
      <c r="M226" s="72">
        <f t="shared" si="5"/>
        <v>70.056651556775051</v>
      </c>
      <c r="N226" s="72">
        <f t="shared" si="6"/>
        <v>73.079621810842497</v>
      </c>
      <c r="O226" s="72">
        <f t="shared" si="7"/>
        <v>77.645152990720703</v>
      </c>
      <c r="P226" s="73">
        <f t="shared" si="18"/>
        <v>12.303220043231612</v>
      </c>
      <c r="Q226" s="74">
        <f t="shared" si="8"/>
        <v>33.621121480348052</v>
      </c>
      <c r="R226" s="87">
        <f t="shared" si="21"/>
        <v>5.7040039412471684</v>
      </c>
      <c r="S226" s="72">
        <f t="shared" si="22"/>
        <v>11.458255787835137</v>
      </c>
      <c r="T226" s="88">
        <f t="shared" si="23"/>
        <v>97.253735492529813</v>
      </c>
      <c r="U226" s="88">
        <f t="shared" si="24"/>
        <v>100.27670574659726</v>
      </c>
      <c r="V226" s="89">
        <f t="shared" si="13"/>
        <v>104.84223692647546</v>
      </c>
      <c r="W226" s="125">
        <f t="shared" si="14"/>
        <v>42.627474388470581</v>
      </c>
    </row>
    <row r="227" spans="2:23" ht="12.75" customHeight="1" x14ac:dyDescent="0.2">
      <c r="B227" s="48"/>
      <c r="C227" s="90">
        <v>39.81</v>
      </c>
      <c r="D227" s="81">
        <f t="shared" si="15"/>
        <v>250.13360707881935</v>
      </c>
      <c r="E227" s="82" t="str">
        <f t="shared" si="16"/>
        <v>250.133607078819i</v>
      </c>
      <c r="F227" s="83" t="str">
        <f t="shared" si="0"/>
        <v>12.6446466926105+3.15018055206093i</v>
      </c>
      <c r="G227" s="84" t="str">
        <f t="shared" si="1"/>
        <v>0.0000950986666638284-0.000236164136638185i</v>
      </c>
      <c r="H227" s="84" t="str">
        <f t="shared" si="2"/>
        <v>0.0590725873599643+0.0237873725210096i</v>
      </c>
      <c r="I227" s="85">
        <f t="shared" si="19"/>
        <v>0.25459233263257802</v>
      </c>
      <c r="J227" s="70">
        <f t="shared" si="20"/>
        <v>0</v>
      </c>
      <c r="K227" s="84" t="str">
        <f t="shared" si="4"/>
        <v>0.38162667437745+0.276486012289514i</v>
      </c>
      <c r="L227" s="86">
        <f t="shared" si="17"/>
        <v>0.47125729022281404</v>
      </c>
      <c r="M227" s="72">
        <f t="shared" si="5"/>
        <v>70.648748608202595</v>
      </c>
      <c r="N227" s="72">
        <f t="shared" si="6"/>
        <v>72.760348645959013</v>
      </c>
      <c r="O227" s="72">
        <f t="shared" si="7"/>
        <v>77.725228388206517</v>
      </c>
      <c r="P227" s="73">
        <f t="shared" si="18"/>
        <v>13.428966121614209</v>
      </c>
      <c r="Q227" s="74">
        <f t="shared" si="8"/>
        <v>34.78927565350557</v>
      </c>
      <c r="R227" s="87">
        <f t="shared" si="21"/>
        <v>5.8304156538624925</v>
      </c>
      <c r="S227" s="72">
        <f t="shared" si="22"/>
        <v>10.792256991797263</v>
      </c>
      <c r="T227" s="88">
        <f t="shared" si="23"/>
        <v>97.845832543957357</v>
      </c>
      <c r="U227" s="88">
        <f t="shared" si="24"/>
        <v>99.957432581713789</v>
      </c>
      <c r="V227" s="89">
        <f t="shared" si="13"/>
        <v>104.92231232396128</v>
      </c>
      <c r="W227" s="125">
        <f t="shared" si="14"/>
        <v>39.054026388855938</v>
      </c>
    </row>
    <row r="228" spans="2:23" ht="12.75" customHeight="1" x14ac:dyDescent="0.2">
      <c r="B228" s="48"/>
      <c r="C228" s="90">
        <v>40.74</v>
      </c>
      <c r="D228" s="81">
        <f t="shared" si="15"/>
        <v>255.97696941449635</v>
      </c>
      <c r="E228" s="82" t="str">
        <f t="shared" si="16"/>
        <v>255.976969414496i</v>
      </c>
      <c r="F228" s="83" t="str">
        <f t="shared" si="0"/>
        <v>12.0415318134512+2.76730252866687i</v>
      </c>
      <c r="G228" s="84" t="str">
        <f t="shared" si="1"/>
        <v>0.0000857869918108414-0.000243808379059039i</v>
      </c>
      <c r="H228" s="84" t="str">
        <f t="shared" si="2"/>
        <v>0.0624093299893935+0.0219594941789254i</v>
      </c>
      <c r="I228" s="85">
        <f t="shared" si="19"/>
        <v>0.25846070042339009</v>
      </c>
      <c r="J228" s="70">
        <f t="shared" si="20"/>
        <v>0</v>
      </c>
      <c r="K228" s="84" t="str">
        <f t="shared" si="4"/>
        <v>0.374552029404039+0.237035016655178i</v>
      </c>
      <c r="L228" s="86">
        <f t="shared" si="17"/>
        <v>0.44325480465687522</v>
      </c>
      <c r="M228" s="72">
        <f t="shared" si="5"/>
        <v>71.18088642597705</v>
      </c>
      <c r="N228" s="72">
        <f t="shared" si="6"/>
        <v>72.428832990480274</v>
      </c>
      <c r="O228" s="72">
        <f t="shared" si="7"/>
        <v>77.7926203516285</v>
      </c>
      <c r="P228" s="73">
        <f t="shared" si="18"/>
        <v>14.768347632902065</v>
      </c>
      <c r="Q228" s="74">
        <f t="shared" si="8"/>
        <v>35.39784251986125</v>
      </c>
      <c r="R228" s="87">
        <f t="shared" si="21"/>
        <v>5.9190050936513083</v>
      </c>
      <c r="S228" s="72">
        <f t="shared" si="22"/>
        <v>10.150972438949671</v>
      </c>
      <c r="T228" s="88">
        <f t="shared" si="23"/>
        <v>98.377970361731826</v>
      </c>
      <c r="U228" s="88">
        <f t="shared" si="24"/>
        <v>99.62591692623505</v>
      </c>
      <c r="V228" s="89">
        <f t="shared" si="13"/>
        <v>104.98970428738326</v>
      </c>
      <c r="W228" s="125">
        <f t="shared" si="14"/>
        <v>35.512110787543513</v>
      </c>
    </row>
    <row r="229" spans="2:23" ht="12.75" customHeight="1" x14ac:dyDescent="0.2">
      <c r="B229" s="48"/>
      <c r="C229" s="90">
        <v>41.69</v>
      </c>
      <c r="D229" s="81">
        <f t="shared" si="15"/>
        <v>261.94599545631695</v>
      </c>
      <c r="E229" s="82" t="str">
        <f t="shared" si="16"/>
        <v>261.945995456317i</v>
      </c>
      <c r="F229" s="83" t="str">
        <f t="shared" si="0"/>
        <v>11.51189539553+2.45430681297373i</v>
      </c>
      <c r="G229" s="84" t="str">
        <f t="shared" si="1"/>
        <v>0.0000755423685980492-0.000249655325213633i</v>
      </c>
      <c r="H229" s="84" t="str">
        <f t="shared" si="2"/>
        <v>0.0653962126840557+0.019788020941544i</v>
      </c>
      <c r="I229" s="85">
        <f t="shared" si="19"/>
        <v>0.26083410601554463</v>
      </c>
      <c r="J229" s="70">
        <f t="shared" si="20"/>
        <v>0.26187265327280901</v>
      </c>
      <c r="K229" s="84" t="str">
        <f t="shared" si="4"/>
        <v>0.364684221967015+0.201069457854146i</v>
      </c>
      <c r="L229" s="86">
        <f t="shared" si="17"/>
        <v>0.41644148284416538</v>
      </c>
      <c r="M229" s="72">
        <f t="shared" si="5"/>
        <v>71.660718466729406</v>
      </c>
      <c r="N229" s="72">
        <f t="shared" si="6"/>
        <v>72.0870610475679</v>
      </c>
      <c r="O229" s="72">
        <f t="shared" si="7"/>
        <v>77.849141021081564</v>
      </c>
      <c r="P229" s="73">
        <f t="shared" si="18"/>
        <v>16.362058591738549</v>
      </c>
      <c r="Q229" s="74">
        <f t="shared" si="8"/>
        <v>35.330994475277571</v>
      </c>
      <c r="R229" s="87">
        <f t="shared" si="21"/>
        <v>5.9733584238336173</v>
      </c>
      <c r="S229" s="72">
        <f t="shared" si="22"/>
        <v>9.5369209095405267</v>
      </c>
      <c r="T229" s="88">
        <f t="shared" si="23"/>
        <v>98.857802402484168</v>
      </c>
      <c r="U229" s="88">
        <f t="shared" si="24"/>
        <v>99.284144983322676</v>
      </c>
      <c r="V229" s="89">
        <f t="shared" si="13"/>
        <v>105.04622495683634</v>
      </c>
      <c r="W229" s="125">
        <f t="shared" si="14"/>
        <v>32.053130377700711</v>
      </c>
    </row>
    <row r="230" spans="2:23" ht="12.75" customHeight="1" x14ac:dyDescent="0.2">
      <c r="B230" s="48"/>
      <c r="C230" s="90">
        <v>42.66</v>
      </c>
      <c r="D230" s="81">
        <f t="shared" si="15"/>
        <v>268.04068520428115</v>
      </c>
      <c r="E230" s="82" t="str">
        <f t="shared" si="16"/>
        <v>268.040685204281i</v>
      </c>
      <c r="F230" s="83" t="str">
        <f t="shared" si="0"/>
        <v>11.0445385441306+2.19514160839922i</v>
      </c>
      <c r="G230" s="84" t="str">
        <f t="shared" si="1"/>
        <v>0.0000647089954592269-0.000253751911202258i</v>
      </c>
      <c r="H230" s="84" t="str">
        <f t="shared" si="2"/>
        <v>0.0680158361505491+0.0173446434817719i</v>
      </c>
      <c r="I230" s="85">
        <f t="shared" si="19"/>
        <v>0.26187265327280901</v>
      </c>
      <c r="J230" s="70">
        <f t="shared" si="20"/>
        <v>0</v>
      </c>
      <c r="K230" s="84" t="str">
        <f t="shared" si="4"/>
        <v>0.352670598939672+0.168572608968158i</v>
      </c>
      <c r="L230" s="86">
        <f t="shared" si="17"/>
        <v>0.39088780468415546</v>
      </c>
      <c r="M230" s="72">
        <f t="shared" si="5"/>
        <v>72.094792114979455</v>
      </c>
      <c r="N230" s="72">
        <f t="shared" si="6"/>
        <v>71.736802904506419</v>
      </c>
      <c r="O230" s="72">
        <f t="shared" si="7"/>
        <v>77.896398821232907</v>
      </c>
      <c r="P230" s="73">
        <f t="shared" si="18"/>
        <v>18.253957444055224</v>
      </c>
      <c r="Q230" s="74">
        <f t="shared" si="8"/>
        <v>34.437197058793657</v>
      </c>
      <c r="R230" s="87">
        <f t="shared" si="21"/>
        <v>5.997142180883241</v>
      </c>
      <c r="S230" s="72">
        <f t="shared" si="22"/>
        <v>8.9517164628186254</v>
      </c>
      <c r="T230" s="88">
        <f t="shared" si="23"/>
        <v>99.291876050734231</v>
      </c>
      <c r="U230" s="88">
        <f t="shared" si="24"/>
        <v>98.933886840261181</v>
      </c>
      <c r="V230" s="89">
        <f t="shared" si="13"/>
        <v>105.09348275698767</v>
      </c>
      <c r="W230" s="125">
        <f t="shared" si="14"/>
        <v>28.731040865846552</v>
      </c>
    </row>
    <row r="231" spans="2:23" ht="12.75" customHeight="1" x14ac:dyDescent="0.2">
      <c r="B231" s="48"/>
      <c r="C231" s="90">
        <v>43.65</v>
      </c>
      <c r="D231" s="81">
        <f t="shared" si="15"/>
        <v>274.26103865838894</v>
      </c>
      <c r="E231" s="82" t="str">
        <f t="shared" si="16"/>
        <v>274.261038658389i</v>
      </c>
      <c r="F231" s="83" t="str">
        <f t="shared" ref="F231:F294" si="25">IMPRODUCT(IMDIV(COMPLEX(0,Sd*Dbl/Sp*D231),COMPLEX(Kbp,Dbl*D231)),IMSUM(IMDIV(IMPRODUCT(COMPLEX(Kbp,0),IMSUB(COMPLEX(1,0),IMDIV(COMPLEX(Kbp,0),COMPLEX(Kbp,Dbl*D231)))),IMSUB(Mp*D231^2,IMPRODUCT(COMPLEX(Kbp,0),IMSUB(COMPLEX(1,0),IMDIV(COMPLEX(Kbp,0),COMPLEX(Kbp,Dbl*D231)))))),COMPLEX(1,0)))</f>
        <v>10.6301736523254+1.97807347503202i</v>
      </c>
      <c r="G231" s="84" t="str">
        <f t="shared" ref="G231:G294" si="26">IMDIV(COMPLEX(Bl,0),IMPRODUCT(COMPLEX(Re,Le*D231),IMSUM(COMPLEX(Kd-Md*D231^2,0),IMPRODUCT(E231,IMSUM(COMPLEX(Dd,0),IMDIV(COMPLEX(Bl^2,0),COMPLEX(Re,Le*D231)))),IMPRODUCT(COMPLEX(Sd*Kbp/Sp,0),F231))))</f>
        <v>0.0000535829752966621-0.000256189942980054i</v>
      </c>
      <c r="H231" s="84" t="str">
        <f t="shared" ref="H231:H294" si="27">IMPRODUCT(E231,G231)</f>
        <v>0.0702629198555431+0.0146957224592693i</v>
      </c>
      <c r="I231" s="85">
        <f t="shared" si="19"/>
        <v>0.26173349446673044</v>
      </c>
      <c r="J231" s="70">
        <f t="shared" ref="J231:J262" si="28">IF(AND(I232&gt;I231,I232&gt;I233),I232,0)</f>
        <v>0</v>
      </c>
      <c r="K231" s="84" t="str">
        <f t="shared" ref="K231:K294" si="29">IMPRODUCT(E231,IMPRODUCT(IMDIV(COMPLEX(0,Sd*Kbp*Dbl/Sp*D231),IMPRODUCT(COMPLEX(Kbp,Dbl*D231),IMSUB(COMPLEX(Mp*D231^2,0),IMPRODUCT(COMPLEX(Kbp,0),IMSUB(COMPLEX(1,0),IMDIV(COMPLEX(Kbp,0),COMPLEX(Kbp,Dbl*D231))))))),G231))</f>
        <v>0.339078575165967+0.13944251944732i</v>
      </c>
      <c r="L231" s="86">
        <f t="shared" si="17"/>
        <v>0.36663128121642669</v>
      </c>
      <c r="M231" s="72">
        <f t="shared" ref="M231:M294" si="30">79.6+20*LOG10(IMABS(IMPRODUCT(COMPLEX(Sd*D231,0),H231)))</f>
        <v>72.488711094213244</v>
      </c>
      <c r="N231" s="72">
        <f t="shared" ref="N231:N294" si="31">79.6+20*LOG10(IMABS(IMPRODUCT(COMPLEX(Sp*D231,0),K231)))</f>
        <v>71.379618751253346</v>
      </c>
      <c r="O231" s="72">
        <f t="shared" ref="O231:O294" si="32">79.6+20*LOG10(IMABS(IMSUM(IMPRODUCT(COMPLEX(Sd*D231,0),H231),IMPRODUCT(COMPLEX(Sp*D231,0),K231))))</f>
        <v>77.935804051558833</v>
      </c>
      <c r="P231" s="73">
        <f t="shared" ref="P231:P294" si="33">IMABS(IMDIV(COMPLEX(Re,D231*Le),IMSUB(COMPLEX(1,0),IMPRODUCT(COMPLEX(Bl,0),H231))))</f>
        <v>20.481650415862749</v>
      </c>
      <c r="Q231" s="74">
        <f t="shared" ref="Q231:Q294" si="34">180/PI()*IMARGUMENT(IMDIV(COMPLEX(Re,D231*Le),IMSUB(COMPLEX(1,0),IMPRODUCT(COMPLEX(Bl,0),H231))))</f>
        <v>32.52114900982221</v>
      </c>
      <c r="R231" s="87">
        <f t="shared" ref="R231:R262" si="35">MaxV*I231</f>
        <v>5.9939553068994735</v>
      </c>
      <c r="S231" s="72">
        <f t="shared" ref="S231:S262" si="36">MaxV*L231</f>
        <v>8.3962181386069883</v>
      </c>
      <c r="T231" s="88">
        <f t="shared" ref="T231:T262" si="37">20*LOG10(MaxV)+M231</f>
        <v>99.685795029968006</v>
      </c>
      <c r="U231" s="88">
        <f t="shared" ref="U231:U262" si="38">20*LOG10(MaxV)+N231</f>
        <v>98.576702687008122</v>
      </c>
      <c r="V231" s="89">
        <f t="shared" ref="V231:V294" si="39">20*LOG10(MaxV)+O231</f>
        <v>105.13288798731361</v>
      </c>
      <c r="W231" s="125">
        <f t="shared" ref="W231:W294" si="40">IMABS(IMDIV(COMPLEX($E$56^2,0),IMDIV(COMPLEX(Re,D231*Le),IMSUB(COMPLEX(1,0),IMPRODUCT(COMPLEX(Bl,0),H231)))))</f>
        <v>25.606100418665047</v>
      </c>
    </row>
    <row r="232" spans="2:23" ht="12.75" customHeight="1" x14ac:dyDescent="0.2">
      <c r="B232" s="48"/>
      <c r="C232" s="90">
        <v>44.67</v>
      </c>
      <c r="D232" s="81">
        <f t="shared" ref="D232:D295" si="41">2*PI()*C232</f>
        <v>280.6698876717121</v>
      </c>
      <c r="E232" s="82" t="str">
        <f t="shared" ref="E232:E295" si="42">COMPLEX(0,2*PI()*C232)</f>
        <v>280.669887671712i</v>
      </c>
      <c r="F232" s="83" t="str">
        <f t="shared" si="25"/>
        <v>10.2576958454869+1.79272105636756i</v>
      </c>
      <c r="G232" s="84" t="str">
        <f t="shared" si="26"/>
        <v>0.0000423030446515257-0.000257093428088175i</v>
      </c>
      <c r="H232" s="84" t="str">
        <f t="shared" si="27"/>
        <v>0.0721583835826434+0.0118731907905151i</v>
      </c>
      <c r="I232" s="85">
        <f t="shared" si="19"/>
        <v>0.26055052936603024</v>
      </c>
      <c r="J232" s="70">
        <f t="shared" si="28"/>
        <v>0</v>
      </c>
      <c r="K232" s="84" t="str">
        <f t="shared" si="29"/>
        <v>0.324246368311114+0.113278180796895i</v>
      </c>
      <c r="L232" s="86">
        <f t="shared" ref="L232:L295" si="43">IMABS(K232)</f>
        <v>0.34346419552494933</v>
      </c>
      <c r="M232" s="72">
        <f t="shared" si="30"/>
        <v>72.850632397260881</v>
      </c>
      <c r="N232" s="72">
        <f t="shared" si="31"/>
        <v>71.01329192330779</v>
      </c>
      <c r="O232" s="72">
        <f t="shared" si="32"/>
        <v>77.968872923203591</v>
      </c>
      <c r="P232" s="73">
        <f t="shared" si="33"/>
        <v>23.080052480216327</v>
      </c>
      <c r="Q232" s="74">
        <f t="shared" si="34"/>
        <v>29.305035491751401</v>
      </c>
      <c r="R232" s="87">
        <f t="shared" si="35"/>
        <v>5.9668642387208832</v>
      </c>
      <c r="S232" s="72">
        <f t="shared" si="36"/>
        <v>7.8656690145495149</v>
      </c>
      <c r="T232" s="88">
        <f t="shared" si="37"/>
        <v>100.04771633301564</v>
      </c>
      <c r="U232" s="88">
        <f t="shared" si="38"/>
        <v>98.210375859062566</v>
      </c>
      <c r="V232" s="89">
        <f t="shared" si="39"/>
        <v>105.16595685895837</v>
      </c>
      <c r="W232" s="125">
        <f t="shared" si="40"/>
        <v>22.7233104317299</v>
      </c>
    </row>
    <row r="233" spans="2:23" ht="12.75" customHeight="1" x14ac:dyDescent="0.2">
      <c r="B233" s="48"/>
      <c r="C233" s="90">
        <v>45.71</v>
      </c>
      <c r="D233" s="81">
        <f t="shared" si="41"/>
        <v>287.20440039117886</v>
      </c>
      <c r="E233" s="82" t="str">
        <f t="shared" si="42"/>
        <v>287.204400391179i</v>
      </c>
      <c r="F233" s="83" t="str">
        <f t="shared" si="25"/>
        <v>9.92497363362295+1.63468608761878i</v>
      </c>
      <c r="G233" s="84" t="str">
        <f t="shared" si="26"/>
        <v>0.0000311889241223564-0.000256576049005234i</v>
      </c>
      <c r="H233" s="84" t="str">
        <f t="shared" si="27"/>
        <v>0.073689770309286+0.00895759625140735i</v>
      </c>
      <c r="I233" s="85">
        <f t="shared" ref="I233:I296" si="44">1000*IMABS(G233)</f>
        <v>0.25846473243180845</v>
      </c>
      <c r="J233" s="70">
        <f t="shared" si="28"/>
        <v>0</v>
      </c>
      <c r="K233" s="84" t="str">
        <f t="shared" si="29"/>
        <v>0.308726087249012+0.0901822649080878i</v>
      </c>
      <c r="L233" s="86">
        <f t="shared" si="43"/>
        <v>0.32162810488518739</v>
      </c>
      <c r="M233" s="72">
        <f t="shared" si="30"/>
        <v>73.180629790528187</v>
      </c>
      <c r="N233" s="72">
        <f t="shared" si="31"/>
        <v>70.642647721696179</v>
      </c>
      <c r="O233" s="72">
        <f t="shared" si="32"/>
        <v>77.996257128870653</v>
      </c>
      <c r="P233" s="73">
        <f t="shared" si="33"/>
        <v>25.956055572835972</v>
      </c>
      <c r="Q233" s="74">
        <f t="shared" si="34"/>
        <v>24.537030451039122</v>
      </c>
      <c r="R233" s="87">
        <f t="shared" si="35"/>
        <v>5.9190974306229522</v>
      </c>
      <c r="S233" s="72">
        <f t="shared" si="36"/>
        <v>7.3656009906276623</v>
      </c>
      <c r="T233" s="88">
        <f t="shared" si="37"/>
        <v>100.37771372628296</v>
      </c>
      <c r="U233" s="88">
        <f t="shared" si="38"/>
        <v>97.839731657450955</v>
      </c>
      <c r="V233" s="89">
        <f t="shared" si="39"/>
        <v>105.19334106462543</v>
      </c>
      <c r="W233" s="125">
        <f t="shared" si="40"/>
        <v>20.205504484950939</v>
      </c>
    </row>
    <row r="234" spans="2:23" ht="12.75" customHeight="1" x14ac:dyDescent="0.2">
      <c r="B234" s="48"/>
      <c r="C234" s="90">
        <v>46.77</v>
      </c>
      <c r="D234" s="81">
        <f t="shared" si="41"/>
        <v>293.86457681678928</v>
      </c>
      <c r="E234" s="82" t="str">
        <f t="shared" si="42"/>
        <v>293.864576816789i</v>
      </c>
      <c r="F234" s="83" t="str">
        <f t="shared" si="25"/>
        <v>9.62651591655964+1.4987704249646i</v>
      </c>
      <c r="G234" s="84" t="str">
        <f t="shared" si="26"/>
        <v>0.0000204037748755443-0.000254793762475927i</v>
      </c>
      <c r="H234" s="84" t="str">
        <f t="shared" si="27"/>
        <v>0.0748748611855457+0.00599594666926686i</v>
      </c>
      <c r="I234" s="85">
        <f t="shared" si="44"/>
        <v>0.25560941967347567</v>
      </c>
      <c r="J234" s="70">
        <f t="shared" si="28"/>
        <v>0</v>
      </c>
      <c r="K234" s="84" t="str">
        <f t="shared" si="29"/>
        <v>0.292862810042655+0.0699204410833759i</v>
      </c>
      <c r="L234" s="86">
        <f t="shared" si="43"/>
        <v>0.30109382854415012</v>
      </c>
      <c r="M234" s="72">
        <f t="shared" si="30"/>
        <v>73.482386983853985</v>
      </c>
      <c r="N234" s="72">
        <f t="shared" si="31"/>
        <v>70.268727938023773</v>
      </c>
      <c r="O234" s="72">
        <f t="shared" si="32"/>
        <v>78.018886957460225</v>
      </c>
      <c r="P234" s="73">
        <f t="shared" si="33"/>
        <v>28.878039455307594</v>
      </c>
      <c r="Q234" s="74">
        <f t="shared" si="34"/>
        <v>18.015235718237449</v>
      </c>
      <c r="R234" s="87">
        <f t="shared" si="35"/>
        <v>5.8537079507799659</v>
      </c>
      <c r="S234" s="72">
        <f t="shared" si="36"/>
        <v>6.8953457988018192</v>
      </c>
      <c r="T234" s="88">
        <f t="shared" si="37"/>
        <v>100.67947091960875</v>
      </c>
      <c r="U234" s="88">
        <f t="shared" si="38"/>
        <v>97.465811873778534</v>
      </c>
      <c r="V234" s="89">
        <f t="shared" si="39"/>
        <v>105.215970893215</v>
      </c>
      <c r="W234" s="125">
        <f t="shared" si="40"/>
        <v>18.161038878703518</v>
      </c>
    </row>
    <row r="235" spans="2:23" ht="12.75" customHeight="1" x14ac:dyDescent="0.2">
      <c r="B235" s="48"/>
      <c r="C235" s="90">
        <v>47.86</v>
      </c>
      <c r="D235" s="81">
        <f t="shared" si="41"/>
        <v>300.71324880161501</v>
      </c>
      <c r="E235" s="82" t="str">
        <f t="shared" si="42"/>
        <v>300.713248801615i</v>
      </c>
      <c r="F235" s="83" t="str">
        <f t="shared" si="25"/>
        <v>9.35540521784248+1.37994779933882i</v>
      </c>
      <c r="G235" s="84" t="str">
        <f t="shared" si="26"/>
        <v>9.97946969808848E-06-0.000251872940573964i</v>
      </c>
      <c r="H235" s="84" t="str">
        <f t="shared" si="27"/>
        <v>0.0757415302452128+0.00300095875422946i</v>
      </c>
      <c r="I235" s="85">
        <f t="shared" si="44"/>
        <v>0.25207056156725377</v>
      </c>
      <c r="J235" s="70">
        <f t="shared" si="28"/>
        <v>0</v>
      </c>
      <c r="K235" s="84" t="str">
        <f t="shared" si="29"/>
        <v>0.276788628847987+0.0520982064327547i</v>
      </c>
      <c r="L235" s="86">
        <f t="shared" si="43"/>
        <v>0.2816490159277299</v>
      </c>
      <c r="M235" s="72">
        <f t="shared" si="30"/>
        <v>73.761505450415513</v>
      </c>
      <c r="N235" s="72">
        <f t="shared" si="31"/>
        <v>69.888962109417378</v>
      </c>
      <c r="O235" s="72">
        <f t="shared" si="32"/>
        <v>78.037705347926007</v>
      </c>
      <c r="P235" s="73">
        <f t="shared" si="33"/>
        <v>31.409814018137258</v>
      </c>
      <c r="Q235" s="74">
        <f t="shared" si="34"/>
        <v>9.6924489374310632</v>
      </c>
      <c r="R235" s="87">
        <f t="shared" si="35"/>
        <v>5.7726646079347148</v>
      </c>
      <c r="S235" s="72">
        <f t="shared" si="36"/>
        <v>6.4500404013733181</v>
      </c>
      <c r="T235" s="88">
        <f t="shared" si="37"/>
        <v>100.95858938617027</v>
      </c>
      <c r="U235" s="88">
        <f t="shared" si="38"/>
        <v>97.086046045172139</v>
      </c>
      <c r="V235" s="89">
        <f t="shared" si="39"/>
        <v>105.23478928368078</v>
      </c>
      <c r="W235" s="125">
        <f t="shared" si="40"/>
        <v>16.697176143282288</v>
      </c>
    </row>
    <row r="236" spans="2:23" ht="12.75" customHeight="1" x14ac:dyDescent="0.2">
      <c r="B236" s="48"/>
      <c r="C236" s="90">
        <v>48.98</v>
      </c>
      <c r="D236" s="81">
        <f t="shared" si="41"/>
        <v>307.75041634565611</v>
      </c>
      <c r="E236" s="82" t="str">
        <f t="shared" si="42"/>
        <v>307.750416345656i</v>
      </c>
      <c r="F236" s="83" t="str">
        <f t="shared" si="25"/>
        <v>9.10859183823324+1.2754983451985i</v>
      </c>
      <c r="G236" s="84" t="str">
        <f t="shared" si="26"/>
        <v>2.7581929665964E-08-0.000247945050384249i</v>
      </c>
      <c r="H236" s="84" t="str">
        <f t="shared" si="27"/>
        <v>0.0763051924865973+8.48835033831702E-06i</v>
      </c>
      <c r="I236" s="85">
        <f t="shared" si="44"/>
        <v>0.24794505191838492</v>
      </c>
      <c r="J236" s="70">
        <f t="shared" si="28"/>
        <v>0</v>
      </c>
      <c r="K236" s="84" t="str">
        <f t="shared" si="29"/>
        <v>0.260737511531396+0.0365412842980001i</v>
      </c>
      <c r="L236" s="86">
        <f t="shared" si="43"/>
        <v>0.26328561559214003</v>
      </c>
      <c r="M236" s="72">
        <f t="shared" si="30"/>
        <v>74.020015248055799</v>
      </c>
      <c r="N236" s="72">
        <f t="shared" si="31"/>
        <v>69.504261724530792</v>
      </c>
      <c r="O236" s="72">
        <f t="shared" si="32"/>
        <v>78.053286246866307</v>
      </c>
      <c r="P236" s="73">
        <f t="shared" si="33"/>
        <v>32.920769863464841</v>
      </c>
      <c r="Q236" s="74">
        <f t="shared" si="34"/>
        <v>2.8597501478763568E-2</v>
      </c>
      <c r="R236" s="87">
        <f t="shared" si="35"/>
        <v>5.6781863658439011</v>
      </c>
      <c r="S236" s="72">
        <f t="shared" si="36"/>
        <v>6.0295004123341247</v>
      </c>
      <c r="T236" s="88">
        <f t="shared" si="37"/>
        <v>101.21709918381057</v>
      </c>
      <c r="U236" s="88">
        <f t="shared" si="38"/>
        <v>96.701345660285568</v>
      </c>
      <c r="V236" s="89">
        <f t="shared" si="39"/>
        <v>105.25037018262108</v>
      </c>
      <c r="W236" s="125">
        <f t="shared" si="40"/>
        <v>15.93083027716829</v>
      </c>
    </row>
    <row r="237" spans="2:23" ht="12.75" customHeight="1" x14ac:dyDescent="0.2">
      <c r="B237" s="48"/>
      <c r="C237" s="90">
        <v>50.12</v>
      </c>
      <c r="D237" s="81">
        <f t="shared" si="41"/>
        <v>314.91324759584086</v>
      </c>
      <c r="E237" s="82" t="str">
        <f t="shared" si="42"/>
        <v>314.913247595841i</v>
      </c>
      <c r="F237" s="83" t="str">
        <f t="shared" si="25"/>
        <v>8.88526738190404+1.18395681430203i</v>
      </c>
      <c r="G237" s="84" t="str">
        <f t="shared" si="26"/>
        <v>-9.28914141957582E-06-0.000243187696208041i</v>
      </c>
      <c r="H237" s="84" t="str">
        <f t="shared" si="27"/>
        <v>0.076583027188225-0.00292527369181566i</v>
      </c>
      <c r="I237" s="85">
        <f t="shared" si="44"/>
        <v>0.2433650421389385</v>
      </c>
      <c r="J237" s="70">
        <f t="shared" si="28"/>
        <v>0</v>
      </c>
      <c r="K237" s="84" t="str">
        <f t="shared" si="29"/>
        <v>0.245035085819459+0.0231731323610684i</v>
      </c>
      <c r="L237" s="86">
        <f t="shared" si="43"/>
        <v>0.24612839605777559</v>
      </c>
      <c r="M237" s="72">
        <f t="shared" si="30"/>
        <v>74.257761487836902</v>
      </c>
      <c r="N237" s="72">
        <f t="shared" si="31"/>
        <v>69.118799137924711</v>
      </c>
      <c r="O237" s="72">
        <f t="shared" si="32"/>
        <v>78.066030656675949</v>
      </c>
      <c r="P237" s="73">
        <f t="shared" si="33"/>
        <v>32.967291891373868</v>
      </c>
      <c r="Q237" s="74">
        <f t="shared" si="34"/>
        <v>-9.9187271756022568</v>
      </c>
      <c r="R237" s="87">
        <f t="shared" si="35"/>
        <v>5.573299622253451</v>
      </c>
      <c r="S237" s="72">
        <f t="shared" si="36"/>
        <v>5.6365831539252467</v>
      </c>
      <c r="T237" s="88">
        <f t="shared" si="37"/>
        <v>101.45484542359168</v>
      </c>
      <c r="U237" s="88">
        <f t="shared" si="38"/>
        <v>96.315883073679487</v>
      </c>
      <c r="V237" s="89">
        <f t="shared" si="39"/>
        <v>105.26311459243072</v>
      </c>
      <c r="W237" s="125">
        <f t="shared" si="40"/>
        <v>15.908349372967468</v>
      </c>
    </row>
    <row r="238" spans="2:23" ht="12.75" customHeight="1" x14ac:dyDescent="0.2">
      <c r="B238" s="48"/>
      <c r="C238" s="90">
        <v>51.29</v>
      </c>
      <c r="D238" s="81">
        <f t="shared" si="41"/>
        <v>322.26457440524098</v>
      </c>
      <c r="E238" s="82" t="str">
        <f t="shared" si="42"/>
        <v>322.264574405241i</v>
      </c>
      <c r="F238" s="83" t="str">
        <f t="shared" si="25"/>
        <v>8.68086953970342+1.10257047410229i</v>
      </c>
      <c r="G238" s="84" t="str">
        <f t="shared" si="26"/>
        <v>-0.0000180027928214168-0.000237696046770937i</v>
      </c>
      <c r="H238" s="84" t="str">
        <f t="shared" si="27"/>
        <v>0.0766010153504443-0.00580166236669961i</v>
      </c>
      <c r="I238" s="85">
        <f t="shared" si="44"/>
        <v>0.23837682605467825</v>
      </c>
      <c r="J238" s="70">
        <f t="shared" si="28"/>
        <v>0</v>
      </c>
      <c r="K238" s="84" t="str">
        <f t="shared" si="29"/>
        <v>0.229685023733373+0.0116643889744937i</v>
      </c>
      <c r="L238" s="86">
        <f t="shared" si="43"/>
        <v>0.22998101681997235</v>
      </c>
      <c r="M238" s="72">
        <f t="shared" si="30"/>
        <v>74.47874372210218</v>
      </c>
      <c r="N238" s="72">
        <f t="shared" si="31"/>
        <v>68.729837237866292</v>
      </c>
      <c r="O238" s="72">
        <f t="shared" si="32"/>
        <v>78.0765121692408</v>
      </c>
      <c r="P238" s="73">
        <f t="shared" si="33"/>
        <v>31.650333140756238</v>
      </c>
      <c r="Q238" s="74">
        <f t="shared" si="34"/>
        <v>-19.146011076519741</v>
      </c>
      <c r="R238" s="87">
        <f t="shared" si="35"/>
        <v>5.4590645514569864</v>
      </c>
      <c r="S238" s="72">
        <f t="shared" si="36"/>
        <v>5.266792234837312</v>
      </c>
      <c r="T238" s="88">
        <f t="shared" si="37"/>
        <v>101.67582765785696</v>
      </c>
      <c r="U238" s="88">
        <f t="shared" si="38"/>
        <v>95.926921173621054</v>
      </c>
      <c r="V238" s="89">
        <f t="shared" si="39"/>
        <v>105.27359610499556</v>
      </c>
      <c r="W238" s="125">
        <f t="shared" si="40"/>
        <v>16.570289954175234</v>
      </c>
    </row>
    <row r="239" spans="2:23" ht="12.75" customHeight="1" x14ac:dyDescent="0.2">
      <c r="B239" s="48"/>
      <c r="C239" s="90">
        <v>52.48</v>
      </c>
      <c r="D239" s="81">
        <f t="shared" si="41"/>
        <v>329.74156492078464</v>
      </c>
      <c r="E239" s="82" t="str">
        <f t="shared" si="42"/>
        <v>329.741564920785i</v>
      </c>
      <c r="F239" s="83" t="str">
        <f t="shared" si="25"/>
        <v>8.49492522382287+1.03046119608873i</v>
      </c>
      <c r="G239" s="84" t="str">
        <f t="shared" si="26"/>
        <v>-0.0000260097320168368-0.000231644144192958i</v>
      </c>
      <c r="H239" s="84" t="str">
        <f t="shared" si="27"/>
        <v>0.0763827026109219-0.00857648973840201i</v>
      </c>
      <c r="I239" s="85">
        <f t="shared" si="44"/>
        <v>0.23309979772294009</v>
      </c>
      <c r="J239" s="70">
        <f t="shared" si="28"/>
        <v>0</v>
      </c>
      <c r="K239" s="84" t="str">
        <f t="shared" si="29"/>
        <v>0.214923912017523+0.00191256616708299i</v>
      </c>
      <c r="L239" s="86">
        <f t="shared" si="43"/>
        <v>0.21493242162656481</v>
      </c>
      <c r="M239" s="72">
        <f t="shared" si="30"/>
        <v>74.682746088770557</v>
      </c>
      <c r="N239" s="72">
        <f t="shared" si="31"/>
        <v>68.341258625508857</v>
      </c>
      <c r="O239" s="72">
        <f t="shared" si="32"/>
        <v>78.085028311647633</v>
      </c>
      <c r="P239" s="73">
        <f t="shared" si="33"/>
        <v>29.501610745675574</v>
      </c>
      <c r="Q239" s="74">
        <f t="shared" si="34"/>
        <v>-26.867330450433005</v>
      </c>
      <c r="R239" s="87">
        <f t="shared" si="35"/>
        <v>5.3382153951878362</v>
      </c>
      <c r="S239" s="72">
        <f t="shared" si="36"/>
        <v>4.9221645546671198</v>
      </c>
      <c r="T239" s="88">
        <f t="shared" si="37"/>
        <v>101.87983002452532</v>
      </c>
      <c r="U239" s="88">
        <f t="shared" si="38"/>
        <v>95.538342561263619</v>
      </c>
      <c r="V239" s="89">
        <f t="shared" si="39"/>
        <v>105.28211224740241</v>
      </c>
      <c r="W239" s="125">
        <f t="shared" si="40"/>
        <v>17.777171619873343</v>
      </c>
    </row>
    <row r="240" spans="2:23" ht="12.75" customHeight="1" x14ac:dyDescent="0.2">
      <c r="B240" s="48"/>
      <c r="C240" s="90">
        <v>53.7</v>
      </c>
      <c r="D240" s="81">
        <f t="shared" si="41"/>
        <v>337.40705099554378</v>
      </c>
      <c r="E240" s="82" t="str">
        <f t="shared" si="42"/>
        <v>337.407050995544i</v>
      </c>
      <c r="F240" s="83" t="str">
        <f t="shared" si="25"/>
        <v>8.32393801942997+0.965722909563322i</v>
      </c>
      <c r="G240" s="84" t="str">
        <f t="shared" si="26"/>
        <v>-0.0000333650448020921-0.000225098866477299i</v>
      </c>
      <c r="H240" s="84" t="str">
        <f t="shared" si="27"/>
        <v>0.0759499447205452-0.0112576013730081i</v>
      </c>
      <c r="I240" s="85">
        <f t="shared" si="44"/>
        <v>0.22755818136030728</v>
      </c>
      <c r="J240" s="70">
        <f t="shared" si="28"/>
        <v>0</v>
      </c>
      <c r="K240" s="84" t="str">
        <f t="shared" si="29"/>
        <v>0.200703584777503-0.0063546626134236i</v>
      </c>
      <c r="L240" s="86">
        <f t="shared" si="43"/>
        <v>0.20080416001535123</v>
      </c>
      <c r="M240" s="72">
        <f t="shared" si="30"/>
        <v>74.872975613754178</v>
      </c>
      <c r="N240" s="72">
        <f t="shared" si="31"/>
        <v>67.950283289565803</v>
      </c>
      <c r="O240" s="72">
        <f t="shared" si="32"/>
        <v>78.091978716645556</v>
      </c>
      <c r="P240" s="73">
        <f t="shared" si="33"/>
        <v>27.057075692548189</v>
      </c>
      <c r="Q240" s="74">
        <f t="shared" si="34"/>
        <v>-32.959773863286337</v>
      </c>
      <c r="R240" s="87">
        <f t="shared" si="35"/>
        <v>5.2113069119106754</v>
      </c>
      <c r="S240" s="72">
        <f t="shared" si="36"/>
        <v>4.598613421731927</v>
      </c>
      <c r="T240" s="88">
        <f t="shared" si="37"/>
        <v>102.07005954950895</v>
      </c>
      <c r="U240" s="88">
        <f t="shared" si="38"/>
        <v>95.147367225320579</v>
      </c>
      <c r="V240" s="89">
        <f t="shared" si="39"/>
        <v>105.28906265240033</v>
      </c>
      <c r="W240" s="125">
        <f t="shared" si="40"/>
        <v>19.383291943593708</v>
      </c>
    </row>
    <row r="241" spans="2:23" ht="12.75" customHeight="1" x14ac:dyDescent="0.2">
      <c r="B241" s="48"/>
      <c r="C241" s="90">
        <v>54.95</v>
      </c>
      <c r="D241" s="81">
        <f t="shared" si="41"/>
        <v>345.2610326295183</v>
      </c>
      <c r="E241" s="82" t="str">
        <f t="shared" si="42"/>
        <v>345.261032629518i</v>
      </c>
      <c r="F241" s="83" t="str">
        <f t="shared" si="25"/>
        <v>8.16645085769504+0.907382358353991i</v>
      </c>
      <c r="G241" s="84" t="str">
        <f t="shared" si="26"/>
        <v>-0.0000400600047692271-0.000218163931966938i</v>
      </c>
      <c r="H241" s="84" t="str">
        <f t="shared" si="27"/>
        <v>0.0753235044334209-0.0138311586137668i</v>
      </c>
      <c r="I241" s="85">
        <f t="shared" si="44"/>
        <v>0.22181141808614194</v>
      </c>
      <c r="J241" s="70">
        <f t="shared" si="28"/>
        <v>0</v>
      </c>
      <c r="K241" s="84" t="str">
        <f t="shared" si="29"/>
        <v>0.187086535624981-0.0132948498068222i</v>
      </c>
      <c r="L241" s="86">
        <f t="shared" si="43"/>
        <v>0.18755832384499294</v>
      </c>
      <c r="M241" s="72">
        <f t="shared" si="30"/>
        <v>75.050540938775654</v>
      </c>
      <c r="N241" s="72">
        <f t="shared" si="31"/>
        <v>67.557424254163365</v>
      </c>
      <c r="O241" s="72">
        <f t="shared" si="32"/>
        <v>78.097619632743459</v>
      </c>
      <c r="P241" s="73">
        <f t="shared" si="33"/>
        <v>24.673733844550767</v>
      </c>
      <c r="Q241" s="74">
        <f t="shared" si="34"/>
        <v>-37.556593156509386</v>
      </c>
      <c r="R241" s="87">
        <f t="shared" si="35"/>
        <v>5.0797003619165286</v>
      </c>
      <c r="S241" s="72">
        <f t="shared" si="36"/>
        <v>4.295270702186599</v>
      </c>
      <c r="T241" s="88">
        <f t="shared" si="37"/>
        <v>102.24762487453043</v>
      </c>
      <c r="U241" s="88">
        <f t="shared" si="38"/>
        <v>94.754508189918141</v>
      </c>
      <c r="V241" s="89">
        <f t="shared" si="39"/>
        <v>105.29470356849822</v>
      </c>
      <c r="W241" s="125">
        <f t="shared" si="40"/>
        <v>21.255607302597195</v>
      </c>
    </row>
    <row r="242" spans="2:23" ht="12.75" customHeight="1" x14ac:dyDescent="0.2">
      <c r="B242" s="48"/>
      <c r="C242" s="90">
        <v>56.23</v>
      </c>
      <c r="D242" s="81">
        <f t="shared" si="41"/>
        <v>353.30350982270812</v>
      </c>
      <c r="E242" s="82" t="str">
        <f t="shared" si="42"/>
        <v>353.303509822708i</v>
      </c>
      <c r="F242" s="83" t="str">
        <f t="shared" si="25"/>
        <v>8.02117333836337+0.854618959134516i</v>
      </c>
      <c r="G242" s="84" t="str">
        <f t="shared" si="26"/>
        <v>-0.0000460977042754567-0.000210934450035819i</v>
      </c>
      <c r="H242" s="84" t="str">
        <f t="shared" si="27"/>
        <v>0.0745238815401775-0.0162864807152881i</v>
      </c>
      <c r="I242" s="85">
        <f t="shared" si="44"/>
        <v>0.21591280775206664</v>
      </c>
      <c r="J242" s="70">
        <f t="shared" si="28"/>
        <v>0</v>
      </c>
      <c r="K242" s="84" t="str">
        <f t="shared" si="29"/>
        <v>0.17411496302974-0.0190562972701632i</v>
      </c>
      <c r="L242" s="86">
        <f t="shared" si="43"/>
        <v>0.17515468254230762</v>
      </c>
      <c r="M242" s="72">
        <f t="shared" si="30"/>
        <v>75.216446542451948</v>
      </c>
      <c r="N242" s="72">
        <f t="shared" si="31"/>
        <v>67.16314017340602</v>
      </c>
      <c r="O242" s="72">
        <f t="shared" si="32"/>
        <v>78.102169011986703</v>
      </c>
      <c r="P242" s="73">
        <f t="shared" si="33"/>
        <v>22.517017669678353</v>
      </c>
      <c r="Q242" s="74">
        <f t="shared" si="34"/>
        <v>-40.920676927577013</v>
      </c>
      <c r="R242" s="87">
        <f t="shared" si="35"/>
        <v>4.9446163644048653</v>
      </c>
      <c r="S242" s="72">
        <f t="shared" si="36"/>
        <v>4.0112150762049632</v>
      </c>
      <c r="T242" s="88">
        <f t="shared" si="37"/>
        <v>102.41353047820672</v>
      </c>
      <c r="U242" s="88">
        <f t="shared" si="38"/>
        <v>94.360224109160782</v>
      </c>
      <c r="V242" s="89">
        <f t="shared" si="39"/>
        <v>105.29925294774148</v>
      </c>
      <c r="W242" s="125">
        <f t="shared" si="40"/>
        <v>23.291503563316557</v>
      </c>
    </row>
    <row r="243" spans="2:23" ht="12.75" customHeight="1" x14ac:dyDescent="0.2">
      <c r="B243" s="48"/>
      <c r="C243" s="90">
        <v>57.54</v>
      </c>
      <c r="D243" s="81">
        <f t="shared" si="41"/>
        <v>361.53448257511337</v>
      </c>
      <c r="E243" s="82" t="str">
        <f t="shared" si="42"/>
        <v>361.534482575113i</v>
      </c>
      <c r="F243" s="83" t="str">
        <f t="shared" si="25"/>
        <v>7.88696019952606+0.806737496909028i</v>
      </c>
      <c r="G243" s="84" t="str">
        <f t="shared" si="26"/>
        <v>-0.0000514907959501056-0.000203496480417039i</v>
      </c>
      <c r="H243" s="84" t="str">
        <f t="shared" si="27"/>
        <v>0.0735709947534308-0.0186156982712022i</v>
      </c>
      <c r="I243" s="85">
        <f t="shared" si="44"/>
        <v>0.20990978921836342</v>
      </c>
      <c r="J243" s="70">
        <f t="shared" si="28"/>
        <v>0</v>
      </c>
      <c r="K243" s="84" t="str">
        <f t="shared" si="29"/>
        <v>0.161814120680533-0.0237769376552488i</v>
      </c>
      <c r="L243" s="86">
        <f t="shared" si="43"/>
        <v>0.16355168117716087</v>
      </c>
      <c r="M243" s="72">
        <f t="shared" si="30"/>
        <v>75.37160325385463</v>
      </c>
      <c r="N243" s="72">
        <f t="shared" si="31"/>
        <v>66.767840865184994</v>
      </c>
      <c r="O243" s="72">
        <f t="shared" si="32"/>
        <v>78.105811403324523</v>
      </c>
      <c r="P243" s="73">
        <f t="shared" si="33"/>
        <v>20.633695463840443</v>
      </c>
      <c r="Q243" s="74">
        <f t="shared" si="34"/>
        <v>-43.319824799731265</v>
      </c>
      <c r="R243" s="87">
        <f t="shared" si="35"/>
        <v>4.8071413160897176</v>
      </c>
      <c r="S243" s="72">
        <f t="shared" si="36"/>
        <v>3.7454948948797426</v>
      </c>
      <c r="T243" s="88">
        <f t="shared" si="37"/>
        <v>102.56868718960939</v>
      </c>
      <c r="U243" s="88">
        <f t="shared" si="38"/>
        <v>93.96492480093977</v>
      </c>
      <c r="V243" s="89">
        <f t="shared" si="39"/>
        <v>105.3028953390793</v>
      </c>
      <c r="W243" s="125">
        <f t="shared" si="40"/>
        <v>25.417414840092786</v>
      </c>
    </row>
    <row r="244" spans="2:23" ht="12.75" customHeight="1" x14ac:dyDescent="0.2">
      <c r="B244" s="48"/>
      <c r="C244" s="90">
        <v>58.88</v>
      </c>
      <c r="D244" s="81">
        <f t="shared" si="41"/>
        <v>369.95395088673405</v>
      </c>
      <c r="E244" s="82" t="str">
        <f t="shared" si="42"/>
        <v>369.953950886734i</v>
      </c>
      <c r="F244" s="83" t="str">
        <f t="shared" si="25"/>
        <v>7.76279277881904+0.763146249828248i</v>
      </c>
      <c r="G244" s="84" t="str">
        <f t="shared" si="26"/>
        <v>-0.0000562594676645801-0.000195926934975864i</v>
      </c>
      <c r="H244" s="84" t="str">
        <f t="shared" si="27"/>
        <v>0.0724839436794491-0.0208134123372959i</v>
      </c>
      <c r="I244" s="85">
        <f t="shared" si="44"/>
        <v>0.20384428260546916</v>
      </c>
      <c r="J244" s="70">
        <f t="shared" si="28"/>
        <v>0</v>
      </c>
      <c r="K244" s="84" t="str">
        <f t="shared" si="29"/>
        <v>0.150195335844459-0.0275837720449203i</v>
      </c>
      <c r="L244" s="86">
        <f t="shared" si="43"/>
        <v>0.15270724733834984</v>
      </c>
      <c r="M244" s="72">
        <f t="shared" si="30"/>
        <v>75.516837852807328</v>
      </c>
      <c r="N244" s="72">
        <f t="shared" si="31"/>
        <v>66.371892462023155</v>
      </c>
      <c r="O244" s="72">
        <f t="shared" si="32"/>
        <v>78.108702452453286</v>
      </c>
      <c r="P244" s="73">
        <f t="shared" si="33"/>
        <v>19.01423299971945</v>
      </c>
      <c r="Q244" s="74">
        <f t="shared" si="34"/>
        <v>-44.980119946943191</v>
      </c>
      <c r="R244" s="87">
        <f t="shared" si="35"/>
        <v>4.6682352290966644</v>
      </c>
      <c r="S244" s="72">
        <f t="shared" si="36"/>
        <v>3.4971466584765332</v>
      </c>
      <c r="T244" s="88">
        <f t="shared" si="37"/>
        <v>102.71392178856209</v>
      </c>
      <c r="U244" s="88">
        <f t="shared" si="38"/>
        <v>93.568976397777931</v>
      </c>
      <c r="V244" s="89">
        <f t="shared" si="39"/>
        <v>105.30578638820805</v>
      </c>
      <c r="W244" s="125">
        <f t="shared" si="40"/>
        <v>27.582243117369611</v>
      </c>
    </row>
    <row r="245" spans="2:23" ht="12.75" customHeight="1" x14ac:dyDescent="0.2">
      <c r="B245" s="48"/>
      <c r="C245" s="90">
        <v>60.26</v>
      </c>
      <c r="D245" s="81">
        <f t="shared" si="41"/>
        <v>378.62474661064186</v>
      </c>
      <c r="E245" s="82" t="str">
        <f t="shared" si="42"/>
        <v>378.624746610642i</v>
      </c>
      <c r="F245" s="83" t="str">
        <f t="shared" si="25"/>
        <v>7.64696377155425+0.723064636791239i</v>
      </c>
      <c r="G245" s="84" t="str">
        <f t="shared" si="26"/>
        <v>-0.0000604576639577708-0.000188238547530663i</v>
      </c>
      <c r="H245" s="84" t="str">
        <f t="shared" si="27"/>
        <v>0.0712717723611526-0.0228907676966823i</v>
      </c>
      <c r="I245" s="85">
        <f t="shared" si="44"/>
        <v>0.19770907897131182</v>
      </c>
      <c r="J245" s="70">
        <f t="shared" si="28"/>
        <v>0</v>
      </c>
      <c r="K245" s="84" t="str">
        <f t="shared" si="29"/>
        <v>0.139182182340294-0.0306118160433642i</v>
      </c>
      <c r="L245" s="86">
        <f t="shared" si="43"/>
        <v>0.14250881784114139</v>
      </c>
      <c r="M245" s="72">
        <f t="shared" si="30"/>
        <v>75.653852453471757</v>
      </c>
      <c r="N245" s="72">
        <f t="shared" si="31"/>
        <v>65.972760756869107</v>
      </c>
      <c r="O245" s="72">
        <f t="shared" si="32"/>
        <v>78.110987380054951</v>
      </c>
      <c r="P245" s="73">
        <f t="shared" si="33"/>
        <v>17.618983612714139</v>
      </c>
      <c r="Q245" s="74">
        <f t="shared" si="34"/>
        <v>-46.08472895748212</v>
      </c>
      <c r="R245" s="87">
        <f t="shared" si="35"/>
        <v>4.5277330115383352</v>
      </c>
      <c r="S245" s="72">
        <f t="shared" si="36"/>
        <v>3.263592558985446</v>
      </c>
      <c r="T245" s="88">
        <f t="shared" si="37"/>
        <v>102.85093638922652</v>
      </c>
      <c r="U245" s="88">
        <f t="shared" si="38"/>
        <v>93.169844692623883</v>
      </c>
      <c r="V245" s="89">
        <f t="shared" si="39"/>
        <v>105.30807131580971</v>
      </c>
      <c r="W245" s="125">
        <f t="shared" si="40"/>
        <v>29.766484197767145</v>
      </c>
    </row>
    <row r="246" spans="2:23" ht="12.75" customHeight="1" x14ac:dyDescent="0.2">
      <c r="B246" s="48"/>
      <c r="C246" s="90">
        <v>61.66</v>
      </c>
      <c r="D246" s="81">
        <f t="shared" si="41"/>
        <v>387.42120604069328</v>
      </c>
      <c r="E246" s="82" t="str">
        <f t="shared" si="42"/>
        <v>387.421206040693i</v>
      </c>
      <c r="F246" s="83" t="str">
        <f t="shared" si="25"/>
        <v>7.54033368982268+0.686635948896668i</v>
      </c>
      <c r="G246" s="84" t="str">
        <f t="shared" si="26"/>
        <v>-0.0000640550404329059-0.000180602318976815i</v>
      </c>
      <c r="H246" s="84" t="str">
        <f t="shared" si="27"/>
        <v>0.0699691682317436-0.0248162810175018i</v>
      </c>
      <c r="I246" s="85">
        <f t="shared" si="44"/>
        <v>0.19162527449338315</v>
      </c>
      <c r="J246" s="70">
        <f t="shared" si="28"/>
        <v>0</v>
      </c>
      <c r="K246" s="84" t="str">
        <f t="shared" si="29"/>
        <v>0.128925115384857-0.0329229842218714i</v>
      </c>
      <c r="L246" s="86">
        <f t="shared" si="43"/>
        <v>0.13306242244552849</v>
      </c>
      <c r="M246" s="72">
        <f t="shared" si="30"/>
        <v>75.781351715976641</v>
      </c>
      <c r="N246" s="72">
        <f t="shared" si="31"/>
        <v>65.576522381548628</v>
      </c>
      <c r="O246" s="72">
        <f t="shared" si="32"/>
        <v>78.112743371430298</v>
      </c>
      <c r="P246" s="73">
        <f t="shared" si="33"/>
        <v>16.433228512183842</v>
      </c>
      <c r="Q246" s="74">
        <f t="shared" si="34"/>
        <v>-46.752682534398325</v>
      </c>
      <c r="R246" s="87">
        <f t="shared" si="35"/>
        <v>4.388407885379312</v>
      </c>
      <c r="S246" s="72">
        <f t="shared" si="36"/>
        <v>3.0472607825425118</v>
      </c>
      <c r="T246" s="88">
        <f t="shared" si="37"/>
        <v>102.97843565173142</v>
      </c>
      <c r="U246" s="88">
        <f t="shared" si="38"/>
        <v>92.773606317303404</v>
      </c>
      <c r="V246" s="89">
        <f t="shared" si="39"/>
        <v>105.30982730718506</v>
      </c>
      <c r="W246" s="125">
        <f t="shared" si="40"/>
        <v>31.914312936118144</v>
      </c>
    </row>
    <row r="247" spans="2:23" ht="12.75" customHeight="1" x14ac:dyDescent="0.2">
      <c r="B247" s="48"/>
      <c r="C247" s="90">
        <v>63.1</v>
      </c>
      <c r="D247" s="81">
        <f t="shared" si="41"/>
        <v>396.46899288303189</v>
      </c>
      <c r="E247" s="82" t="str">
        <f t="shared" si="42"/>
        <v>396.468992883032i</v>
      </c>
      <c r="F247" s="83" t="str">
        <f t="shared" si="25"/>
        <v>7.44063579922456+0.652957548068894i</v>
      </c>
      <c r="G247" s="84" t="str">
        <f t="shared" si="26"/>
        <v>-0.0000671369842152257-0.000172960885021244i</v>
      </c>
      <c r="H247" s="84" t="str">
        <f t="shared" si="27"/>
        <v>0.0685736278925305-0.0266177325170146i</v>
      </c>
      <c r="I247" s="85">
        <f t="shared" si="44"/>
        <v>0.18553393866580706</v>
      </c>
      <c r="J247" s="70">
        <f t="shared" si="28"/>
        <v>0</v>
      </c>
      <c r="K247" s="84" t="str">
        <f t="shared" si="29"/>
        <v>0.119260921070974-0.0346466547392759i</v>
      </c>
      <c r="L247" s="86">
        <f t="shared" si="43"/>
        <v>0.12419161799139135</v>
      </c>
      <c r="M247" s="72">
        <f t="shared" si="30"/>
        <v>75.90179675541242</v>
      </c>
      <c r="N247" s="72">
        <f t="shared" si="31"/>
        <v>65.177776349259318</v>
      </c>
      <c r="O247" s="72">
        <f t="shared" si="32"/>
        <v>78.114088663316736</v>
      </c>
      <c r="P247" s="73">
        <f t="shared" si="33"/>
        <v>15.407130092605493</v>
      </c>
      <c r="Q247" s="74">
        <f t="shared" si="34"/>
        <v>-47.096011648606705</v>
      </c>
      <c r="R247" s="87">
        <f t="shared" si="35"/>
        <v>4.2489102838812824</v>
      </c>
      <c r="S247" s="72">
        <f t="shared" si="36"/>
        <v>2.8441106066635071</v>
      </c>
      <c r="T247" s="88">
        <f t="shared" si="37"/>
        <v>103.09888069116718</v>
      </c>
      <c r="U247" s="88">
        <f t="shared" si="38"/>
        <v>92.37486028501408</v>
      </c>
      <c r="V247" s="89">
        <f t="shared" si="39"/>
        <v>105.31117259907151</v>
      </c>
      <c r="W247" s="125">
        <f t="shared" si="40"/>
        <v>34.039772114358989</v>
      </c>
    </row>
    <row r="248" spans="2:23" x14ac:dyDescent="0.2">
      <c r="B248" s="48"/>
      <c r="C248" s="90">
        <v>64.569999999999993</v>
      </c>
      <c r="D248" s="81">
        <f t="shared" si="41"/>
        <v>405.70527528458587</v>
      </c>
      <c r="E248" s="82" t="str">
        <f t="shared" si="42"/>
        <v>405.705275284586i</v>
      </c>
      <c r="F248" s="83" t="str">
        <f t="shared" si="25"/>
        <v>7.34799733930305+0.621971124806612i</v>
      </c>
      <c r="G248" s="84" t="str">
        <f t="shared" si="26"/>
        <v>-0.0000697115799992006-0.000165413600431911i</v>
      </c>
      <c r="H248" s="84" t="str">
        <f t="shared" si="27"/>
        <v>0.067109170299043-0.0282823557540991i</v>
      </c>
      <c r="I248" s="85">
        <f t="shared" si="44"/>
        <v>0.17950310190588031</v>
      </c>
      <c r="J248" s="70">
        <f t="shared" si="28"/>
        <v>0</v>
      </c>
      <c r="K248" s="84" t="str">
        <f t="shared" si="29"/>
        <v>0.110243829122515-0.0358504735008986i</v>
      </c>
      <c r="L248" s="86">
        <f t="shared" si="43"/>
        <v>0.11592652116678444</v>
      </c>
      <c r="M248" s="72">
        <f t="shared" si="30"/>
        <v>76.014825713463296</v>
      </c>
      <c r="N248" s="72">
        <f t="shared" si="31"/>
        <v>64.779615255487201</v>
      </c>
      <c r="O248" s="72">
        <f t="shared" si="32"/>
        <v>78.115086890916587</v>
      </c>
      <c r="P248" s="73">
        <f t="shared" si="33"/>
        <v>14.521444197860067</v>
      </c>
      <c r="Q248" s="74">
        <f t="shared" si="34"/>
        <v>-47.185949809140858</v>
      </c>
      <c r="R248" s="87">
        <f t="shared" si="35"/>
        <v>4.1107981707340588</v>
      </c>
      <c r="S248" s="72">
        <f t="shared" si="36"/>
        <v>2.6548317332246021</v>
      </c>
      <c r="T248" s="88">
        <f t="shared" si="37"/>
        <v>103.21190964921806</v>
      </c>
      <c r="U248" s="88">
        <f t="shared" si="38"/>
        <v>91.976699191241977</v>
      </c>
      <c r="V248" s="89">
        <f t="shared" si="39"/>
        <v>105.31217082667135</v>
      </c>
      <c r="W248" s="125">
        <f t="shared" si="40"/>
        <v>36.115911760750315</v>
      </c>
    </row>
    <row r="249" spans="2:23" x14ac:dyDescent="0.2">
      <c r="B249" s="48"/>
      <c r="C249" s="90">
        <v>66.069999999999993</v>
      </c>
      <c r="D249" s="81">
        <f t="shared" si="41"/>
        <v>415.13005324535521</v>
      </c>
      <c r="E249" s="82" t="str">
        <f t="shared" si="42"/>
        <v>415.130053245355i</v>
      </c>
      <c r="F249" s="83" t="str">
        <f t="shared" si="25"/>
        <v>7.26181548204106+0.593388052847437i</v>
      </c>
      <c r="G249" s="84" t="str">
        <f t="shared" si="26"/>
        <v>-0.0000718157241832272-0.000157997426728774i</v>
      </c>
      <c r="H249" s="84" t="str">
        <f t="shared" si="27"/>
        <v>0.065589480170545-0.0298128654040368i</v>
      </c>
      <c r="I249" s="85">
        <f t="shared" si="44"/>
        <v>0.17355311893733188</v>
      </c>
      <c r="J249" s="70">
        <f t="shared" si="28"/>
        <v>0</v>
      </c>
      <c r="K249" s="84" t="str">
        <f t="shared" si="29"/>
        <v>0.101847749857529-0.0366114538651496i</v>
      </c>
      <c r="L249" s="86">
        <f t="shared" si="43"/>
        <v>0.10822828976363701</v>
      </c>
      <c r="M249" s="72">
        <f t="shared" si="30"/>
        <v>76.120975829726717</v>
      </c>
      <c r="N249" s="72">
        <f t="shared" si="31"/>
        <v>64.382245511319553</v>
      </c>
      <c r="O249" s="72">
        <f t="shared" si="32"/>
        <v>78.115802774633863</v>
      </c>
      <c r="P249" s="73">
        <f t="shared" si="33"/>
        <v>13.752536025270594</v>
      </c>
      <c r="Q249" s="74">
        <f t="shared" si="34"/>
        <v>-47.080926772229809</v>
      </c>
      <c r="R249" s="87">
        <f t="shared" si="35"/>
        <v>3.9745376891974638</v>
      </c>
      <c r="S249" s="72">
        <f t="shared" si="36"/>
        <v>2.478534637330744</v>
      </c>
      <c r="T249" s="88">
        <f t="shared" si="37"/>
        <v>103.31805976548148</v>
      </c>
      <c r="U249" s="88">
        <f t="shared" si="38"/>
        <v>91.579329447074315</v>
      </c>
      <c r="V249" s="89">
        <f t="shared" si="39"/>
        <v>105.31288671038863</v>
      </c>
      <c r="W249" s="125">
        <f t="shared" si="40"/>
        <v>38.135162585640607</v>
      </c>
    </row>
    <row r="250" spans="2:23" x14ac:dyDescent="0.2">
      <c r="B250" s="48"/>
      <c r="C250" s="90">
        <v>67.61</v>
      </c>
      <c r="D250" s="81">
        <f t="shared" si="41"/>
        <v>424.80615861841181</v>
      </c>
      <c r="E250" s="82" t="str">
        <f t="shared" si="42"/>
        <v>424.806158618412i</v>
      </c>
      <c r="F250" s="83" t="str">
        <f t="shared" si="25"/>
        <v>7.18104703135565+0.5667927357839i</v>
      </c>
      <c r="G250" s="84" t="str">
        <f t="shared" si="26"/>
        <v>-0.0000734958520104943-0.000150696432084716i</v>
      </c>
      <c r="H250" s="84" t="str">
        <f t="shared" si="27"/>
        <v>0.0640167724314086-0.0312214905669654i</v>
      </c>
      <c r="I250" s="85">
        <f t="shared" si="44"/>
        <v>0.16766351691948939</v>
      </c>
      <c r="J250" s="70">
        <f t="shared" si="28"/>
        <v>0</v>
      </c>
      <c r="K250" s="84" t="str">
        <f t="shared" si="29"/>
        <v>0.0939953345076166-0.0369990653939894i</v>
      </c>
      <c r="L250" s="86">
        <f t="shared" si="43"/>
        <v>0.10101511643921143</v>
      </c>
      <c r="M250" s="72">
        <f t="shared" si="30"/>
        <v>76.221363972533638</v>
      </c>
      <c r="N250" s="72">
        <f t="shared" si="31"/>
        <v>63.983289554953046</v>
      </c>
      <c r="O250" s="72">
        <f t="shared" si="32"/>
        <v>78.116292377859537</v>
      </c>
      <c r="P250" s="73">
        <f t="shared" si="33"/>
        <v>13.077024303445912</v>
      </c>
      <c r="Q250" s="74">
        <f t="shared" si="34"/>
        <v>-46.823315037224788</v>
      </c>
      <c r="R250" s="87">
        <f t="shared" si="35"/>
        <v>3.8396599910171103</v>
      </c>
      <c r="S250" s="72">
        <f t="shared" si="36"/>
        <v>2.3133458501041932</v>
      </c>
      <c r="T250" s="88">
        <f t="shared" si="37"/>
        <v>103.41844790828841</v>
      </c>
      <c r="U250" s="88">
        <f t="shared" si="38"/>
        <v>91.180373490707808</v>
      </c>
      <c r="V250" s="89">
        <f t="shared" si="39"/>
        <v>105.3133763136143</v>
      </c>
      <c r="W250" s="125">
        <f t="shared" si="40"/>
        <v>40.105086992181754</v>
      </c>
    </row>
    <row r="251" spans="2:23" x14ac:dyDescent="0.2">
      <c r="B251" s="48"/>
      <c r="C251" s="90">
        <v>69.180000000000007</v>
      </c>
      <c r="D251" s="81">
        <f t="shared" si="41"/>
        <v>434.67075955068384</v>
      </c>
      <c r="E251" s="82" t="str">
        <f t="shared" si="42"/>
        <v>434.670759550684i</v>
      </c>
      <c r="F251" s="83" t="str">
        <f t="shared" si="25"/>
        <v>7.10579058709432+0.542160210350541i</v>
      </c>
      <c r="G251" s="84" t="str">
        <f t="shared" si="26"/>
        <v>-0.0000747737125239332-0.000143585850301117i</v>
      </c>
      <c r="H251" s="84" t="str">
        <f t="shared" si="27"/>
        <v>0.0624125706111173-0.0325019464172025i</v>
      </c>
      <c r="I251" s="85">
        <f t="shared" si="44"/>
        <v>0.16188886463035868</v>
      </c>
      <c r="J251" s="70">
        <f t="shared" si="28"/>
        <v>0</v>
      </c>
      <c r="K251" s="84" t="str">
        <f t="shared" si="29"/>
        <v>0.0867137049002955-0.0370680528909012i</v>
      </c>
      <c r="L251" s="86">
        <f t="shared" si="43"/>
        <v>9.4304332682322606E-2</v>
      </c>
      <c r="M251" s="72">
        <f t="shared" si="30"/>
        <v>76.315716953202084</v>
      </c>
      <c r="N251" s="72">
        <f t="shared" si="31"/>
        <v>63.585587539281704</v>
      </c>
      <c r="O251" s="72">
        <f t="shared" si="32"/>
        <v>78.116595223624188</v>
      </c>
      <c r="P251" s="73">
        <f t="shared" si="33"/>
        <v>12.484374148989053</v>
      </c>
      <c r="Q251" s="74">
        <f t="shared" si="34"/>
        <v>-46.448066376712276</v>
      </c>
      <c r="R251" s="87">
        <f t="shared" si="35"/>
        <v>3.7074147550588448</v>
      </c>
      <c r="S251" s="72">
        <f t="shared" si="36"/>
        <v>2.1596622797418541</v>
      </c>
      <c r="T251" s="88">
        <f t="shared" si="37"/>
        <v>103.51280088895686</v>
      </c>
      <c r="U251" s="88">
        <f t="shared" si="38"/>
        <v>90.782671475036466</v>
      </c>
      <c r="V251" s="89">
        <f t="shared" si="39"/>
        <v>105.31367915937895</v>
      </c>
      <c r="W251" s="125">
        <f t="shared" si="40"/>
        <v>42.008929805347343</v>
      </c>
    </row>
    <row r="252" spans="2:23" x14ac:dyDescent="0.2">
      <c r="B252" s="48"/>
      <c r="C252" s="90">
        <v>70.790000000000006</v>
      </c>
      <c r="D252" s="81">
        <f t="shared" si="41"/>
        <v>444.78668789524295</v>
      </c>
      <c r="E252" s="82" t="str">
        <f t="shared" si="42"/>
        <v>444.786687895243i</v>
      </c>
      <c r="F252" s="83" t="str">
        <f t="shared" si="25"/>
        <v>7.03517326528169+0.519157072029045i</v>
      </c>
      <c r="G252" s="84" t="str">
        <f t="shared" si="26"/>
        <v>-0.0000756902557388548-0.000136643104114735i</v>
      </c>
      <c r="H252" s="84" t="str">
        <f t="shared" si="27"/>
        <v>0.0607770337029178-0.0336660181560291i</v>
      </c>
      <c r="I252" s="85">
        <f t="shared" si="44"/>
        <v>0.15620612253021182</v>
      </c>
      <c r="J252" s="70">
        <f t="shared" si="28"/>
        <v>0</v>
      </c>
      <c r="K252" s="84" t="str">
        <f t="shared" si="29"/>
        <v>0.0799304550471786-0.0368700532898479i</v>
      </c>
      <c r="L252" s="86">
        <f t="shared" si="43"/>
        <v>8.8024306152592116E-2</v>
      </c>
      <c r="M252" s="72">
        <f t="shared" si="30"/>
        <v>76.404992636841001</v>
      </c>
      <c r="N252" s="72">
        <f t="shared" si="31"/>
        <v>63.186833916176617</v>
      </c>
      <c r="O252" s="72">
        <f t="shared" si="32"/>
        <v>78.116749062008964</v>
      </c>
      <c r="P252" s="73">
        <f t="shared" si="33"/>
        <v>11.958488016425305</v>
      </c>
      <c r="Q252" s="74">
        <f t="shared" si="34"/>
        <v>-45.978982260408472</v>
      </c>
      <c r="R252" s="87">
        <f t="shared" si="35"/>
        <v>3.5772743531270392</v>
      </c>
      <c r="S252" s="72">
        <f t="shared" si="36"/>
        <v>2.0158434749609007</v>
      </c>
      <c r="T252" s="88">
        <f t="shared" si="37"/>
        <v>103.60207657259576</v>
      </c>
      <c r="U252" s="88">
        <f t="shared" si="38"/>
        <v>90.383917851931386</v>
      </c>
      <c r="V252" s="89">
        <f t="shared" si="39"/>
        <v>105.31383299776374</v>
      </c>
      <c r="W252" s="125">
        <f t="shared" si="40"/>
        <v>43.856313320565327</v>
      </c>
    </row>
    <row r="253" spans="2:23" x14ac:dyDescent="0.2">
      <c r="B253" s="48"/>
      <c r="C253" s="90">
        <v>72.44</v>
      </c>
      <c r="D253" s="81">
        <f t="shared" si="41"/>
        <v>455.1539436520892</v>
      </c>
      <c r="E253" s="82" t="str">
        <f t="shared" si="42"/>
        <v>455.153943652089i</v>
      </c>
      <c r="F253" s="83" t="str">
        <f t="shared" si="25"/>
        <v>6.96889092118794+0.49764584024337i</v>
      </c>
      <c r="G253" s="84" t="str">
        <f t="shared" si="26"/>
        <v>-0.0000762743931642665-0.000129889504448079i</v>
      </c>
      <c r="H253" s="84" t="str">
        <f t="shared" si="27"/>
        <v>0.0591197201885587-0.0347165908483858i</v>
      </c>
      <c r="I253" s="85">
        <f t="shared" si="44"/>
        <v>0.15062890299787965</v>
      </c>
      <c r="J253" s="70">
        <f t="shared" si="28"/>
        <v>0</v>
      </c>
      <c r="K253" s="84" t="str">
        <f t="shared" si="29"/>
        <v>0.0736243844136269-0.0364482045032853i</v>
      </c>
      <c r="L253" s="86">
        <f t="shared" si="43"/>
        <v>8.2152429007296038E-2</v>
      </c>
      <c r="M253" s="72">
        <f t="shared" si="30"/>
        <v>76.489459031089964</v>
      </c>
      <c r="N253" s="72">
        <f t="shared" si="31"/>
        <v>62.787320469034654</v>
      </c>
      <c r="O253" s="72">
        <f t="shared" si="32"/>
        <v>78.116782464119979</v>
      </c>
      <c r="P253" s="73">
        <f t="shared" si="33"/>
        <v>11.489902827475571</v>
      </c>
      <c r="Q253" s="74">
        <f t="shared" si="34"/>
        <v>-45.436105278193153</v>
      </c>
      <c r="R253" s="87">
        <f t="shared" si="35"/>
        <v>3.4495505221298752</v>
      </c>
      <c r="S253" s="72">
        <f t="shared" si="36"/>
        <v>1.8813716938531029</v>
      </c>
      <c r="T253" s="88">
        <f t="shared" si="37"/>
        <v>103.68654296684474</v>
      </c>
      <c r="U253" s="88">
        <f t="shared" si="38"/>
        <v>89.984404404789416</v>
      </c>
      <c r="V253" s="89">
        <f t="shared" si="39"/>
        <v>105.31386639987474</v>
      </c>
      <c r="W253" s="125">
        <f t="shared" si="40"/>
        <v>45.644876650693227</v>
      </c>
    </row>
    <row r="254" spans="2:23" x14ac:dyDescent="0.2">
      <c r="B254" s="48"/>
      <c r="C254" s="90">
        <v>74.13</v>
      </c>
      <c r="D254" s="81">
        <f t="shared" si="41"/>
        <v>465.7725268212227</v>
      </c>
      <c r="E254" s="82" t="str">
        <f t="shared" si="42"/>
        <v>465.772526821223i</v>
      </c>
      <c r="F254" s="83" t="str">
        <f t="shared" si="25"/>
        <v>6.90665874570578+0.477502244436155i</v>
      </c>
      <c r="G254" s="84" t="str">
        <f t="shared" si="26"/>
        <v>-0.000076554917908743-0.000123342152008178i</v>
      </c>
      <c r="H254" s="84" t="str">
        <f t="shared" si="27"/>
        <v>0.0574493858044164-0.0356571775549465i</v>
      </c>
      <c r="I254" s="85">
        <f t="shared" si="44"/>
        <v>0.14516866713593149</v>
      </c>
      <c r="J254" s="70">
        <f t="shared" si="28"/>
        <v>0</v>
      </c>
      <c r="K254" s="84" t="str">
        <f t="shared" si="29"/>
        <v>0.0677727581203383-0.0358410490125713i</v>
      </c>
      <c r="L254" s="86">
        <f t="shared" si="43"/>
        <v>7.6666339012368509E-2</v>
      </c>
      <c r="M254" s="72">
        <f t="shared" si="30"/>
        <v>76.569372893436253</v>
      </c>
      <c r="N254" s="72">
        <f t="shared" si="31"/>
        <v>62.387317967575804</v>
      </c>
      <c r="O254" s="72">
        <f t="shared" si="32"/>
        <v>78.11671943765667</v>
      </c>
      <c r="P254" s="73">
        <f t="shared" si="33"/>
        <v>11.07072324629087</v>
      </c>
      <c r="Q254" s="74">
        <f t="shared" si="34"/>
        <v>-44.835577755818491</v>
      </c>
      <c r="R254" s="87">
        <f t="shared" si="35"/>
        <v>3.3245057326262253</v>
      </c>
      <c r="S254" s="72">
        <f t="shared" si="36"/>
        <v>1.7557348191908733</v>
      </c>
      <c r="T254" s="88">
        <f t="shared" si="37"/>
        <v>103.76645682919101</v>
      </c>
      <c r="U254" s="88">
        <f t="shared" si="38"/>
        <v>89.584401903330573</v>
      </c>
      <c r="V254" s="89">
        <f t="shared" si="39"/>
        <v>105.31380337341145</v>
      </c>
      <c r="W254" s="125">
        <f t="shared" si="40"/>
        <v>47.373164843975943</v>
      </c>
    </row>
    <row r="255" spans="2:23" x14ac:dyDescent="0.2">
      <c r="B255" s="48"/>
      <c r="C255" s="90">
        <v>75.86</v>
      </c>
      <c r="D255" s="81">
        <f t="shared" si="41"/>
        <v>476.6424374026434</v>
      </c>
      <c r="E255" s="82" t="str">
        <f t="shared" si="42"/>
        <v>476.642437402643i</v>
      </c>
      <c r="F255" s="83" t="str">
        <f t="shared" si="25"/>
        <v>6.84821038268791+0.458613892903491i</v>
      </c>
      <c r="G255" s="84" t="str">
        <f t="shared" si="26"/>
        <v>-0.0000765601039451721-0.000117014304140668i</v>
      </c>
      <c r="H255" s="84" t="str">
        <f t="shared" si="27"/>
        <v>0.0557739831365822-0.0364917945522265i</v>
      </c>
      <c r="I255" s="85">
        <f t="shared" si="44"/>
        <v>0.13983489153147832</v>
      </c>
      <c r="J255" s="70">
        <f t="shared" si="28"/>
        <v>0</v>
      </c>
      <c r="K255" s="84" t="str">
        <f t="shared" si="29"/>
        <v>0.0623518834670802-0.0350827840282857i</v>
      </c>
      <c r="L255" s="86">
        <f t="shared" si="43"/>
        <v>7.1544106026057014E-2</v>
      </c>
      <c r="M255" s="72">
        <f t="shared" si="30"/>
        <v>76.644979633102224</v>
      </c>
      <c r="N255" s="72">
        <f t="shared" si="31"/>
        <v>61.987077455035291</v>
      </c>
      <c r="O255" s="72">
        <f t="shared" si="32"/>
        <v>78.116580062468273</v>
      </c>
      <c r="P255" s="73">
        <f t="shared" si="33"/>
        <v>10.694340081649102</v>
      </c>
      <c r="Q255" s="74">
        <f t="shared" si="34"/>
        <v>-44.190473617599842</v>
      </c>
      <c r="R255" s="87">
        <f t="shared" si="35"/>
        <v>3.2023570078126085</v>
      </c>
      <c r="S255" s="72">
        <f t="shared" si="36"/>
        <v>1.6384306290869965</v>
      </c>
      <c r="T255" s="88">
        <f t="shared" si="37"/>
        <v>103.84206356885699</v>
      </c>
      <c r="U255" s="88">
        <f t="shared" si="38"/>
        <v>89.184161390790052</v>
      </c>
      <c r="V255" s="89">
        <f t="shared" si="39"/>
        <v>105.31366399822303</v>
      </c>
      <c r="W255" s="125">
        <f t="shared" si="40"/>
        <v>49.040445065751179</v>
      </c>
    </row>
    <row r="256" spans="2:23" x14ac:dyDescent="0.2">
      <c r="C256" s="90">
        <v>77.62</v>
      </c>
      <c r="D256" s="81">
        <f t="shared" si="41"/>
        <v>487.70084354327952</v>
      </c>
      <c r="E256" s="82" t="str">
        <f t="shared" si="42"/>
        <v>487.70084354328i</v>
      </c>
      <c r="F256" s="83" t="str">
        <f t="shared" si="25"/>
        <v>6.79359441082612+0.440975122470688i</v>
      </c>
      <c r="G256" s="84" t="str">
        <f t="shared" si="26"/>
        <v>-0.0000763193802466999-0.000110949172945671i</v>
      </c>
      <c r="H256" s="84" t="str">
        <f t="shared" si="27"/>
        <v>0.054110005236033-0.0372210261250159i</v>
      </c>
      <c r="I256" s="85">
        <f t="shared" si="44"/>
        <v>0.13466390302738437</v>
      </c>
      <c r="J256" s="70">
        <f t="shared" si="28"/>
        <v>0</v>
      </c>
      <c r="K256" s="84" t="str">
        <f t="shared" si="29"/>
        <v>0.0573645239427664-0.0342087450094384i</v>
      </c>
      <c r="L256" s="86">
        <f t="shared" si="43"/>
        <v>6.6790170252073733E-2</v>
      </c>
      <c r="M256" s="72">
        <f t="shared" si="30"/>
        <v>76.716124590688651</v>
      </c>
      <c r="N256" s="72">
        <f t="shared" si="31"/>
        <v>61.589067238843974</v>
      </c>
      <c r="O256" s="72">
        <f t="shared" si="32"/>
        <v>78.116382307845058</v>
      </c>
      <c r="P256" s="73">
        <f t="shared" si="33"/>
        <v>10.356998700436661</v>
      </c>
      <c r="Q256" s="74">
        <f t="shared" si="34"/>
        <v>-43.515305717879528</v>
      </c>
      <c r="R256" s="87">
        <f t="shared" si="35"/>
        <v>3.0839362682386371</v>
      </c>
      <c r="S256" s="72">
        <f t="shared" si="36"/>
        <v>1.5295608085881593</v>
      </c>
      <c r="T256" s="88">
        <f t="shared" si="37"/>
        <v>103.91320852644341</v>
      </c>
      <c r="U256" s="88">
        <f t="shared" si="38"/>
        <v>88.786151174598743</v>
      </c>
      <c r="V256" s="89">
        <f t="shared" si="39"/>
        <v>105.31346624359983</v>
      </c>
      <c r="W256" s="125">
        <f t="shared" si="40"/>
        <v>50.637758336926552</v>
      </c>
    </row>
    <row r="257" spans="3:23" x14ac:dyDescent="0.2">
      <c r="C257" s="90">
        <v>79.430000000000007</v>
      </c>
      <c r="D257" s="81">
        <f t="shared" si="41"/>
        <v>499.07340894927455</v>
      </c>
      <c r="E257" s="82" t="str">
        <f t="shared" si="42"/>
        <v>499.073408949275i</v>
      </c>
      <c r="F257" s="83" t="str">
        <f t="shared" si="25"/>
        <v>6.74195978157774+0.424294033839046i</v>
      </c>
      <c r="G257" s="84" t="str">
        <f t="shared" si="26"/>
        <v>-0.0000758561967990172-0.000105084580647154i</v>
      </c>
      <c r="H257" s="84" t="str">
        <f t="shared" si="27"/>
        <v>0.0524449198915802-0.0378578107264126i</v>
      </c>
      <c r="I257" s="85">
        <f t="shared" si="44"/>
        <v>0.12960297713632754</v>
      </c>
      <c r="J257" s="70">
        <f t="shared" si="28"/>
        <v>0</v>
      </c>
      <c r="K257" s="84" t="str">
        <f t="shared" si="29"/>
        <v>0.052729966638364-0.0332352579751277i</v>
      </c>
      <c r="L257" s="86">
        <f t="shared" si="43"/>
        <v>6.233002289712615E-2</v>
      </c>
      <c r="M257" s="72">
        <f t="shared" si="30"/>
        <v>76.783837161302884</v>
      </c>
      <c r="N257" s="72">
        <f t="shared" si="31"/>
        <v>61.188980440214131</v>
      </c>
      <c r="O257" s="72">
        <f t="shared" si="32"/>
        <v>78.116137719321685</v>
      </c>
      <c r="P257" s="73">
        <f t="shared" si="33"/>
        <v>10.050202952987734</v>
      </c>
      <c r="Q257" s="74">
        <f t="shared" si="34"/>
        <v>-42.811063741872289</v>
      </c>
      <c r="R257" s="87">
        <f t="shared" si="35"/>
        <v>2.9680360711151046</v>
      </c>
      <c r="S257" s="72">
        <f t="shared" si="36"/>
        <v>1.4274190328012626</v>
      </c>
      <c r="T257" s="88">
        <f t="shared" si="37"/>
        <v>103.98092109705766</v>
      </c>
      <c r="U257" s="88">
        <f t="shared" si="38"/>
        <v>88.3860643759689</v>
      </c>
      <c r="V257" s="89">
        <f t="shared" si="39"/>
        <v>105.31322165507646</v>
      </c>
      <c r="W257" s="125">
        <f t="shared" si="40"/>
        <v>52.183542933594524</v>
      </c>
    </row>
    <row r="258" spans="3:23" x14ac:dyDescent="0.2">
      <c r="C258" s="90">
        <v>81.28</v>
      </c>
      <c r="D258" s="81">
        <f t="shared" si="41"/>
        <v>510.69730176755678</v>
      </c>
      <c r="E258" s="82" t="str">
        <f t="shared" si="42"/>
        <v>510.697301767557i</v>
      </c>
      <c r="F258" s="83" t="str">
        <f t="shared" si="25"/>
        <v>6.69341333980752+0.408591587850428i</v>
      </c>
      <c r="G258" s="84" t="str">
        <f t="shared" si="26"/>
        <v>-0.0000751963397205848-0.0000994600274979829i</v>
      </c>
      <c r="H258" s="84" t="str">
        <f t="shared" si="27"/>
        <v>0.0507939676769469-0.0384025677980992i</v>
      </c>
      <c r="I258" s="85">
        <f t="shared" si="44"/>
        <v>0.12468675381640631</v>
      </c>
      <c r="J258" s="70">
        <f t="shared" si="28"/>
        <v>0</v>
      </c>
      <c r="K258" s="84" t="str">
        <f t="shared" si="29"/>
        <v>0.0484540033380631-0.0321899988515266i</v>
      </c>
      <c r="L258" s="86">
        <f t="shared" si="43"/>
        <v>5.8172041957853894E-2</v>
      </c>
      <c r="M258" s="72">
        <f t="shared" si="30"/>
        <v>76.847909265685942</v>
      </c>
      <c r="N258" s="72">
        <f t="shared" si="31"/>
        <v>60.78930353323463</v>
      </c>
      <c r="O258" s="72">
        <f t="shared" si="32"/>
        <v>78.115858727040049</v>
      </c>
      <c r="P258" s="73">
        <f t="shared" si="33"/>
        <v>9.772010071257748</v>
      </c>
      <c r="Q258" s="74">
        <f t="shared" si="34"/>
        <v>-42.088687538148655</v>
      </c>
      <c r="R258" s="87">
        <f t="shared" si="35"/>
        <v>2.8554497056658388</v>
      </c>
      <c r="S258" s="72">
        <f t="shared" si="36"/>
        <v>1.3321971661169214</v>
      </c>
      <c r="T258" s="88">
        <f t="shared" si="37"/>
        <v>104.04499320144072</v>
      </c>
      <c r="U258" s="88">
        <f t="shared" si="38"/>
        <v>87.986387468989392</v>
      </c>
      <c r="V258" s="89">
        <f t="shared" si="39"/>
        <v>105.31294266279482</v>
      </c>
      <c r="W258" s="125">
        <f t="shared" si="40"/>
        <v>53.669121650943175</v>
      </c>
    </row>
    <row r="259" spans="3:23" x14ac:dyDescent="0.2">
      <c r="C259" s="90">
        <v>83.18</v>
      </c>
      <c r="D259" s="81">
        <f t="shared" si="41"/>
        <v>522.63535385119803</v>
      </c>
      <c r="E259" s="82" t="str">
        <f t="shared" si="42"/>
        <v>522.635353851198i</v>
      </c>
      <c r="F259" s="83" t="str">
        <f t="shared" si="25"/>
        <v>6.64752108946106+0.393716696027322i</v>
      </c>
      <c r="G259" s="84" t="str">
        <f t="shared" si="26"/>
        <v>-0.0000743587089264572-0.00009404957130309i</v>
      </c>
      <c r="H259" s="84" t="str">
        <f t="shared" si="27"/>
        <v>0.0491536309775439-0.0388624901516972i</v>
      </c>
      <c r="I259" s="85">
        <f t="shared" si="44"/>
        <v>0.1198938674641226</v>
      </c>
      <c r="J259" s="70">
        <f t="shared" si="28"/>
        <v>0</v>
      </c>
      <c r="K259" s="84" t="str">
        <f t="shared" si="29"/>
        <v>0.0444933438948954-0.0310869604184523i</v>
      </c>
      <c r="L259" s="86">
        <f t="shared" si="43"/>
        <v>5.4277589841552891E-2</v>
      </c>
      <c r="M259" s="72">
        <f t="shared" si="30"/>
        <v>76.908851134816175</v>
      </c>
      <c r="N259" s="72">
        <f t="shared" si="31"/>
        <v>60.388132878633002</v>
      </c>
      <c r="O259" s="72">
        <f t="shared" si="32"/>
        <v>78.11555308891036</v>
      </c>
      <c r="P259" s="73">
        <f t="shared" si="33"/>
        <v>9.5177630531904764</v>
      </c>
      <c r="Q259" s="74">
        <f t="shared" si="34"/>
        <v>-41.350188430927375</v>
      </c>
      <c r="R259" s="87">
        <f t="shared" si="35"/>
        <v>2.7456878784867471</v>
      </c>
      <c r="S259" s="72">
        <f t="shared" si="36"/>
        <v>1.2430103695338974</v>
      </c>
      <c r="T259" s="88">
        <f t="shared" si="37"/>
        <v>104.10593507057095</v>
      </c>
      <c r="U259" s="88">
        <f t="shared" si="38"/>
        <v>87.585216814387763</v>
      </c>
      <c r="V259" s="89">
        <f t="shared" si="39"/>
        <v>105.31263702466512</v>
      </c>
      <c r="W259" s="125">
        <f t="shared" si="40"/>
        <v>55.10277933560976</v>
      </c>
    </row>
    <row r="260" spans="3:23" x14ac:dyDescent="0.2">
      <c r="C260" s="90">
        <v>85.11</v>
      </c>
      <c r="D260" s="81">
        <f t="shared" si="41"/>
        <v>534.76190149405454</v>
      </c>
      <c r="E260" s="82" t="str">
        <f t="shared" si="42"/>
        <v>534.761901494055i</v>
      </c>
      <c r="F260" s="83" t="str">
        <f t="shared" si="25"/>
        <v>6.60457629673257+0.379756574983624i</v>
      </c>
      <c r="G260" s="84" t="str">
        <f t="shared" si="26"/>
        <v>-0.0000733744158113099-0.000088909653450661i</v>
      </c>
      <c r="H260" s="84" t="str">
        <f t="shared" si="27"/>
        <v>0.0475454953404529-0.0392378421202715i</v>
      </c>
      <c r="I260" s="85">
        <f t="shared" si="44"/>
        <v>0.11527675989707396</v>
      </c>
      <c r="J260" s="70">
        <f t="shared" si="28"/>
        <v>0</v>
      </c>
      <c r="K260" s="84" t="str">
        <f t="shared" si="29"/>
        <v>0.0408667279954123-0.0299548413557852i</v>
      </c>
      <c r="L260" s="86">
        <f t="shared" si="43"/>
        <v>5.066933962172069E-2</v>
      </c>
      <c r="M260" s="72">
        <f t="shared" si="30"/>
        <v>76.966213945443656</v>
      </c>
      <c r="N260" s="72">
        <f t="shared" si="31"/>
        <v>59.989860153440432</v>
      </c>
      <c r="O260" s="72">
        <f t="shared" si="32"/>
        <v>78.115231732683355</v>
      </c>
      <c r="P260" s="73">
        <f t="shared" si="33"/>
        <v>9.2872175504229251</v>
      </c>
      <c r="Q260" s="74">
        <f t="shared" si="34"/>
        <v>-40.608205766445074</v>
      </c>
      <c r="R260" s="87">
        <f t="shared" si="35"/>
        <v>2.6399515589514011</v>
      </c>
      <c r="S260" s="72">
        <f t="shared" si="36"/>
        <v>1.1603778788095069</v>
      </c>
      <c r="T260" s="88">
        <f t="shared" si="37"/>
        <v>104.16329788119842</v>
      </c>
      <c r="U260" s="88">
        <f t="shared" si="38"/>
        <v>87.186944089195208</v>
      </c>
      <c r="V260" s="89">
        <f t="shared" si="39"/>
        <v>105.31231566843812</v>
      </c>
      <c r="W260" s="125">
        <f t="shared" si="40"/>
        <v>56.47064844138292</v>
      </c>
    </row>
    <row r="261" spans="3:23" x14ac:dyDescent="0.2">
      <c r="C261" s="90">
        <v>87.1</v>
      </c>
      <c r="D261" s="81">
        <f t="shared" si="41"/>
        <v>547.2654402553419</v>
      </c>
      <c r="E261" s="82" t="str">
        <f t="shared" si="42"/>
        <v>547.265440255342i</v>
      </c>
      <c r="F261" s="83" t="str">
        <f t="shared" si="25"/>
        <v>6.56375790484225+0.366438351508141i</v>
      </c>
      <c r="G261" s="84" t="str">
        <f t="shared" si="26"/>
        <v>-0.0000722482782277654-0.0000839606028638787i</v>
      </c>
      <c r="H261" s="84" t="str">
        <f t="shared" si="27"/>
        <v>0.0459487362904045-0.0395389857920085i</v>
      </c>
      <c r="I261" s="85">
        <f t="shared" si="44"/>
        <v>0.11076640528672289</v>
      </c>
      <c r="J261" s="70">
        <f t="shared" si="28"/>
        <v>0</v>
      </c>
      <c r="K261" s="84" t="str">
        <f t="shared" si="29"/>
        <v>0.0374981689146544-0.0287907266052642i</v>
      </c>
      <c r="L261" s="86">
        <f t="shared" si="43"/>
        <v>4.7275983442029226E-2</v>
      </c>
      <c r="M261" s="72">
        <f t="shared" si="30"/>
        <v>77.021042536076266</v>
      </c>
      <c r="N261" s="72">
        <f t="shared" si="31"/>
        <v>59.588517998137867</v>
      </c>
      <c r="O261" s="72">
        <f t="shared" si="32"/>
        <v>78.114895942295007</v>
      </c>
      <c r="P261" s="73">
        <f t="shared" si="33"/>
        <v>9.0744370967995351</v>
      </c>
      <c r="Q261" s="74">
        <f t="shared" si="34"/>
        <v>-39.855340462260266</v>
      </c>
      <c r="R261" s="87">
        <f t="shared" si="35"/>
        <v>2.5366599874702862</v>
      </c>
      <c r="S261" s="72">
        <f t="shared" si="36"/>
        <v>1.0826666736658825</v>
      </c>
      <c r="T261" s="88">
        <f t="shared" si="37"/>
        <v>104.21812647183103</v>
      </c>
      <c r="U261" s="88">
        <f t="shared" si="38"/>
        <v>86.785601933892636</v>
      </c>
      <c r="V261" s="89">
        <f t="shared" si="39"/>
        <v>105.31197987804978</v>
      </c>
      <c r="W261" s="125">
        <f t="shared" si="40"/>
        <v>57.794791202370476</v>
      </c>
    </row>
    <row r="262" spans="3:23" x14ac:dyDescent="0.2">
      <c r="C262" s="90">
        <v>89.13</v>
      </c>
      <c r="D262" s="81">
        <f t="shared" si="41"/>
        <v>560.02030642891646</v>
      </c>
      <c r="E262" s="82" t="str">
        <f t="shared" si="42"/>
        <v>560.020306428916i</v>
      </c>
      <c r="F262" s="83" t="str">
        <f t="shared" si="25"/>
        <v>6.52535724210648+0.353852601877097i</v>
      </c>
      <c r="G262" s="84" t="str">
        <f t="shared" si="26"/>
        <v>-0.0000710096116207535-0.0000792533279219087i</v>
      </c>
      <c r="H262" s="84" t="str">
        <f t="shared" si="27"/>
        <v>0.0443834729883387-0.0397668244592527i</v>
      </c>
      <c r="I262" s="85">
        <f t="shared" si="44"/>
        <v>0.10641172364560139</v>
      </c>
      <c r="J262" s="70">
        <f t="shared" si="28"/>
        <v>0</v>
      </c>
      <c r="K262" s="84" t="str">
        <f t="shared" si="29"/>
        <v>0.0344052431892212-0.0276188875027312i</v>
      </c>
      <c r="L262" s="86">
        <f t="shared" si="43"/>
        <v>4.4119425492610095E-2</v>
      </c>
      <c r="M262" s="72">
        <f t="shared" si="30"/>
        <v>77.072900920014277</v>
      </c>
      <c r="N262" s="72">
        <f t="shared" si="31"/>
        <v>59.188418562612966</v>
      </c>
      <c r="O262" s="72">
        <f t="shared" si="32"/>
        <v>78.114554182588179</v>
      </c>
      <c r="P262" s="73">
        <f t="shared" si="33"/>
        <v>8.8797023358351321</v>
      </c>
      <c r="Q262" s="74">
        <f t="shared" si="34"/>
        <v>-39.102713756971362</v>
      </c>
      <c r="R262" s="87">
        <f t="shared" si="35"/>
        <v>2.4369334806055876</v>
      </c>
      <c r="S262" s="72">
        <f t="shared" si="36"/>
        <v>1.0103783816725109</v>
      </c>
      <c r="T262" s="88">
        <f t="shared" si="37"/>
        <v>104.26998485576905</v>
      </c>
      <c r="U262" s="88">
        <f t="shared" si="38"/>
        <v>86.385502498367742</v>
      </c>
      <c r="V262" s="89">
        <f t="shared" si="39"/>
        <v>105.31163811834296</v>
      </c>
      <c r="W262" s="125">
        <f t="shared" si="40"/>
        <v>59.062249775205927</v>
      </c>
    </row>
    <row r="263" spans="3:23" x14ac:dyDescent="0.2">
      <c r="C263" s="90">
        <v>91.2</v>
      </c>
      <c r="D263" s="81">
        <f t="shared" si="41"/>
        <v>573.02650001477832</v>
      </c>
      <c r="E263" s="82" t="str">
        <f t="shared" si="42"/>
        <v>573.026500014778i</v>
      </c>
      <c r="F263" s="83" t="str">
        <f t="shared" si="25"/>
        <v>6.48921430045337+0.341944897547254i</v>
      </c>
      <c r="G263" s="84" t="str">
        <f t="shared" si="26"/>
        <v>-0.0000696765310857814-0.0000747824260011906i</v>
      </c>
      <c r="H263" s="84" t="str">
        <f t="shared" si="27"/>
        <v>0.0428523118340764-0.0399264987412562i</v>
      </c>
      <c r="I263" s="85">
        <f t="shared" si="44"/>
        <v>0.10221169318023945</v>
      </c>
      <c r="J263" s="70">
        <f t="shared" ref="J263:J294" si="45">IF(AND(I264&gt;I263,I264&gt;I265),I264,0)</f>
        <v>0</v>
      </c>
      <c r="K263" s="84" t="str">
        <f t="shared" si="29"/>
        <v>0.0315670984767437-0.026449800599358i</v>
      </c>
      <c r="L263" s="86">
        <f t="shared" si="43"/>
        <v>4.1183414841246879E-2</v>
      </c>
      <c r="M263" s="72">
        <f t="shared" si="30"/>
        <v>77.121960286549069</v>
      </c>
      <c r="N263" s="72">
        <f t="shared" si="31"/>
        <v>58.789687318178878</v>
      </c>
      <c r="O263" s="72">
        <f t="shared" si="32"/>
        <v>78.114210584679981</v>
      </c>
      <c r="P263" s="73">
        <f t="shared" si="33"/>
        <v>8.7010704118883506</v>
      </c>
      <c r="Q263" s="74">
        <f t="shared" si="34"/>
        <v>-38.353103815861665</v>
      </c>
      <c r="R263" s="87">
        <f t="shared" ref="R263:R294" si="46">MaxV*I263</f>
        <v>2.3407486382785168</v>
      </c>
      <c r="S263" s="72">
        <f t="shared" ref="S263:S294" si="47">MaxV*L263</f>
        <v>0.94314084044490598</v>
      </c>
      <c r="T263" s="88">
        <f t="shared" ref="T263:T294" si="48">20*LOG10(MaxV)+M263</f>
        <v>104.31904422230383</v>
      </c>
      <c r="U263" s="88">
        <f t="shared" ref="U263:U294" si="49">20*LOG10(MaxV)+N263</f>
        <v>85.986771253933654</v>
      </c>
      <c r="V263" s="89">
        <f t="shared" si="39"/>
        <v>105.31129452043476</v>
      </c>
      <c r="W263" s="125">
        <f t="shared" si="40"/>
        <v>60.274790624841508</v>
      </c>
    </row>
    <row r="264" spans="3:23" x14ac:dyDescent="0.2">
      <c r="C264" s="90">
        <v>93.33</v>
      </c>
      <c r="D264" s="81">
        <f t="shared" si="41"/>
        <v>586.40968471907081</v>
      </c>
      <c r="E264" s="82" t="str">
        <f t="shared" si="42"/>
        <v>586.409684719071i</v>
      </c>
      <c r="F264" s="83" t="str">
        <f t="shared" si="25"/>
        <v>6.45487051624251+0.330562660944444i</v>
      </c>
      <c r="G264" s="84" t="str">
        <f t="shared" si="26"/>
        <v>-0.0000682519792758006-0.0000705027739581675i</v>
      </c>
      <c r="H264" s="84" t="str">
        <f t="shared" si="27"/>
        <v>0.0413435094486289-0.0400236216485748i</v>
      </c>
      <c r="I264" s="85">
        <f t="shared" si="44"/>
        <v>9.8127334677248712E-2</v>
      </c>
      <c r="J264" s="70">
        <f t="shared" si="45"/>
        <v>0</v>
      </c>
      <c r="K264" s="84" t="str">
        <f t="shared" si="29"/>
        <v>0.0289406928175595-0.0252813142730553i</v>
      </c>
      <c r="L264" s="86">
        <f t="shared" si="43"/>
        <v>3.8427965755857149E-2</v>
      </c>
      <c r="M264" s="72">
        <f t="shared" si="30"/>
        <v>77.168805789159563</v>
      </c>
      <c r="N264" s="72">
        <f t="shared" si="31"/>
        <v>58.388716677542305</v>
      </c>
      <c r="O264" s="72">
        <f t="shared" si="32"/>
        <v>78.113865218111926</v>
      </c>
      <c r="P264" s="73">
        <f t="shared" si="33"/>
        <v>8.5353759701315823</v>
      </c>
      <c r="Q264" s="74">
        <f t="shared" si="34"/>
        <v>-37.601831783057932</v>
      </c>
      <c r="R264" s="87">
        <f t="shared" si="46"/>
        <v>2.2472127980370487</v>
      </c>
      <c r="S264" s="72">
        <f t="shared" si="47"/>
        <v>0.8800383372596956</v>
      </c>
      <c r="T264" s="88">
        <f t="shared" si="48"/>
        <v>104.36588972491433</v>
      </c>
      <c r="U264" s="88">
        <f t="shared" si="49"/>
        <v>85.585800613297067</v>
      </c>
      <c r="V264" s="89">
        <f t="shared" si="39"/>
        <v>105.31094915386669</v>
      </c>
      <c r="W264" s="125">
        <f t="shared" si="40"/>
        <v>61.444885277911006</v>
      </c>
    </row>
    <row r="265" spans="3:23" x14ac:dyDescent="0.2">
      <c r="C265" s="90">
        <v>95.5</v>
      </c>
      <c r="D265" s="81">
        <f t="shared" si="41"/>
        <v>600.0441968356505</v>
      </c>
      <c r="E265" s="82" t="str">
        <f t="shared" si="42"/>
        <v>600.04419683565i</v>
      </c>
      <c r="F265" s="83" t="str">
        <f t="shared" si="25"/>
        <v>6.42254463169294+0.319778080607564i</v>
      </c>
      <c r="G265" s="84" t="str">
        <f t="shared" si="26"/>
        <v>-0.0000667639621585165-0.0000664514782914661i</v>
      </c>
      <c r="H265" s="84" t="str">
        <f t="shared" si="27"/>
        <v>0.0398738239199444-0.0400613280509728i</v>
      </c>
      <c r="I265" s="85">
        <f t="shared" si="44"/>
        <v>9.4197800453221903E-2</v>
      </c>
      <c r="J265" s="70">
        <f t="shared" si="45"/>
        <v>0</v>
      </c>
      <c r="K265" s="84" t="str">
        <f t="shared" si="29"/>
        <v>0.0265356688158279-0.0241320581430767i</v>
      </c>
      <c r="L265" s="86">
        <f t="shared" si="43"/>
        <v>3.5867784287911285E-2</v>
      </c>
      <c r="M265" s="72">
        <f t="shared" si="30"/>
        <v>77.213105204465577</v>
      </c>
      <c r="N265" s="72">
        <f t="shared" si="31"/>
        <v>57.989501876444066</v>
      </c>
      <c r="O265" s="72">
        <f t="shared" si="32"/>
        <v>78.113524048204596</v>
      </c>
      <c r="P265" s="73">
        <f t="shared" si="33"/>
        <v>8.3829082827282519</v>
      </c>
      <c r="Q265" s="74">
        <f t="shared" si="34"/>
        <v>-36.858122441166223</v>
      </c>
      <c r="R265" s="87">
        <f t="shared" si="46"/>
        <v>2.1572225865674097</v>
      </c>
      <c r="S265" s="72">
        <f t="shared" si="47"/>
        <v>0.82140765520776438</v>
      </c>
      <c r="T265" s="88">
        <f t="shared" si="48"/>
        <v>104.41018914022035</v>
      </c>
      <c r="U265" s="88">
        <f t="shared" si="49"/>
        <v>85.186585812198842</v>
      </c>
      <c r="V265" s="89">
        <f t="shared" si="39"/>
        <v>105.31060798395936</v>
      </c>
      <c r="W265" s="125">
        <f t="shared" si="40"/>
        <v>62.562440098400728</v>
      </c>
    </row>
    <row r="266" spans="3:23" x14ac:dyDescent="0.2">
      <c r="C266" s="90">
        <v>97.72</v>
      </c>
      <c r="D266" s="81">
        <f t="shared" si="41"/>
        <v>613.99286821758915</v>
      </c>
      <c r="E266" s="82" t="str">
        <f t="shared" si="42"/>
        <v>613.992868217589i</v>
      </c>
      <c r="F266" s="83" t="str">
        <f t="shared" si="25"/>
        <v>6.39197006820819+0.309503487001244i</v>
      </c>
      <c r="G266" s="84" t="str">
        <f t="shared" si="26"/>
        <v>-0.0000652193750654169-0.000062603617983138i</v>
      </c>
      <c r="H266" s="84" t="str">
        <f t="shared" si="27"/>
        <v>0.0384381749662651-0.040044231159774i</v>
      </c>
      <c r="I266" s="85">
        <f t="shared" si="44"/>
        <v>9.0403428411217929E-2</v>
      </c>
      <c r="J266" s="70">
        <f t="shared" si="45"/>
        <v>0</v>
      </c>
      <c r="K266" s="84" t="str">
        <f t="shared" si="29"/>
        <v>0.0243246117637722-0.0230027999012457i</v>
      </c>
      <c r="L266" s="86">
        <f t="shared" si="43"/>
        <v>3.3478583314635553E-2</v>
      </c>
      <c r="M266" s="72">
        <f t="shared" si="30"/>
        <v>77.255191447845505</v>
      </c>
      <c r="N266" s="72">
        <f t="shared" si="31"/>
        <v>57.590354067258957</v>
      </c>
      <c r="O266" s="72">
        <f t="shared" si="32"/>
        <v>78.11318759766192</v>
      </c>
      <c r="P266" s="73">
        <f t="shared" si="33"/>
        <v>8.2417263041780178</v>
      </c>
      <c r="Q266" s="74">
        <f t="shared" si="34"/>
        <v>-36.120235009988328</v>
      </c>
      <c r="R266" s="87">
        <f t="shared" si="46"/>
        <v>2.0703277224467169</v>
      </c>
      <c r="S266" s="72">
        <f t="shared" si="47"/>
        <v>0.76669259521059685</v>
      </c>
      <c r="T266" s="88">
        <f t="shared" si="48"/>
        <v>104.45227538360027</v>
      </c>
      <c r="U266" s="88">
        <f t="shared" si="49"/>
        <v>84.787438003013733</v>
      </c>
      <c r="V266" s="89">
        <f t="shared" si="39"/>
        <v>105.31027153341668</v>
      </c>
      <c r="W266" s="125">
        <f t="shared" si="40"/>
        <v>63.634143859243352</v>
      </c>
    </row>
    <row r="267" spans="3:23" x14ac:dyDescent="0.2">
      <c r="C267" s="90">
        <v>100</v>
      </c>
      <c r="D267" s="81">
        <f t="shared" si="41"/>
        <v>628.31853071795865</v>
      </c>
      <c r="E267" s="82" t="str">
        <f t="shared" si="42"/>
        <v>628.318530717959i</v>
      </c>
      <c r="F267" s="83" t="str">
        <f t="shared" si="25"/>
        <v>6.36292960028074+0.299667014141949i</v>
      </c>
      <c r="G267" s="84" t="str">
        <f t="shared" si="26"/>
        <v>-0.0000636235937070239-0.0000589387415891359i</v>
      </c>
      <c r="H267" s="84" t="str">
        <f t="shared" si="27"/>
        <v>0.0370323035176513-0.0399758829169936i</v>
      </c>
      <c r="I267" s="85">
        <f t="shared" si="44"/>
        <v>8.6727947838671868E-2</v>
      </c>
      <c r="J267" s="70">
        <f t="shared" si="45"/>
        <v>0</v>
      </c>
      <c r="K267" s="84" t="str">
        <f t="shared" si="29"/>
        <v>0.0222852054321422-0.0218939731999167i</v>
      </c>
      <c r="L267" s="86">
        <f t="shared" si="43"/>
        <v>3.1240621690860299E-2</v>
      </c>
      <c r="M267" s="72">
        <f t="shared" si="30"/>
        <v>77.295336505261872</v>
      </c>
      <c r="N267" s="72">
        <f t="shared" si="31"/>
        <v>57.189736816318259</v>
      </c>
      <c r="O267" s="72">
        <f t="shared" si="32"/>
        <v>78.112856148245342</v>
      </c>
      <c r="P267" s="73">
        <f t="shared" si="33"/>
        <v>8.110277661802014</v>
      </c>
      <c r="Q267" s="74">
        <f t="shared" si="34"/>
        <v>-35.386552641508921</v>
      </c>
      <c r="R267" s="87">
        <f t="shared" si="46"/>
        <v>1.9861555903009827</v>
      </c>
      <c r="S267" s="72">
        <f t="shared" si="47"/>
        <v>0.71544106556286902</v>
      </c>
      <c r="T267" s="88">
        <f t="shared" si="48"/>
        <v>104.49242044101663</v>
      </c>
      <c r="U267" s="88">
        <f t="shared" si="49"/>
        <v>84.386820752073021</v>
      </c>
      <c r="V267" s="89">
        <f t="shared" si="39"/>
        <v>105.30994008400012</v>
      </c>
      <c r="W267" s="125">
        <f t="shared" si="40"/>
        <v>64.665504580523319</v>
      </c>
    </row>
    <row r="268" spans="3:23" x14ac:dyDescent="0.2">
      <c r="C268" s="90">
        <v>102.3</v>
      </c>
      <c r="D268" s="81">
        <f t="shared" si="41"/>
        <v>642.7698569244717</v>
      </c>
      <c r="E268" s="82" t="str">
        <f t="shared" si="42"/>
        <v>642.769856924472i</v>
      </c>
      <c r="F268" s="83" t="str">
        <f t="shared" si="25"/>
        <v>6.33581365753948+0.290404340141559i</v>
      </c>
      <c r="G268" s="84" t="str">
        <f t="shared" si="26"/>
        <v>-0.0000620158884354771-0.000055511918206754i</v>
      </c>
      <c r="H268" s="84" t="str">
        <f t="shared" si="27"/>
        <v>0.0356813877233583-0.0398619437367156i</v>
      </c>
      <c r="I268" s="85">
        <f t="shared" si="44"/>
        <v>8.3231865781291298E-2</v>
      </c>
      <c r="J268" s="70">
        <f t="shared" si="45"/>
        <v>0</v>
      </c>
      <c r="K268" s="84" t="str">
        <f t="shared" si="29"/>
        <v>0.0204372773819657-0.0208284945679876i</v>
      </c>
      <c r="L268" s="86">
        <f t="shared" si="43"/>
        <v>2.9180618443687856E-2</v>
      </c>
      <c r="M268" s="72">
        <f t="shared" si="30"/>
        <v>77.332973053059675</v>
      </c>
      <c r="N268" s="72">
        <f t="shared" si="31"/>
        <v>56.794745973607363</v>
      </c>
      <c r="O268" s="72">
        <f t="shared" si="32"/>
        <v>78.112536637164951</v>
      </c>
      <c r="P268" s="73">
        <f t="shared" si="33"/>
        <v>7.98981090257743</v>
      </c>
      <c r="Q268" s="74">
        <f t="shared" si="34"/>
        <v>-34.670926864269383</v>
      </c>
      <c r="R268" s="87">
        <f t="shared" si="46"/>
        <v>1.9060918611864197</v>
      </c>
      <c r="S268" s="72">
        <f t="shared" si="47"/>
        <v>0.66826495835207045</v>
      </c>
      <c r="T268" s="88">
        <f t="shared" si="48"/>
        <v>104.53005698881444</v>
      </c>
      <c r="U268" s="88">
        <f t="shared" si="49"/>
        <v>83.991829909362139</v>
      </c>
      <c r="V268" s="89">
        <f t="shared" si="39"/>
        <v>105.30962057291973</v>
      </c>
      <c r="W268" s="125">
        <f t="shared" si="40"/>
        <v>65.640501844591853</v>
      </c>
    </row>
    <row r="269" spans="3:23" x14ac:dyDescent="0.2">
      <c r="C269" s="90">
        <v>104.7</v>
      </c>
      <c r="D269" s="81">
        <f t="shared" si="41"/>
        <v>657.84950166170267</v>
      </c>
      <c r="E269" s="82" t="str">
        <f t="shared" si="42"/>
        <v>657.849501661703i</v>
      </c>
      <c r="F269" s="83" t="str">
        <f t="shared" si="25"/>
        <v>6.30961800876137+0.281374519402166i</v>
      </c>
      <c r="G269" s="84" t="str">
        <f t="shared" si="26"/>
        <v>-0.0000603507737541873-0.0000522009028749578i</v>
      </c>
      <c r="H269" s="84" t="str">
        <f t="shared" si="27"/>
        <v>0.0343403379425819-0.0397017264390903i</v>
      </c>
      <c r="I269" s="85">
        <f t="shared" si="44"/>
        <v>7.9794424327078645E-2</v>
      </c>
      <c r="J269" s="70">
        <f t="shared" si="45"/>
        <v>0</v>
      </c>
      <c r="K269" s="84" t="str">
        <f t="shared" si="29"/>
        <v>0.0187063709580136-0.0197732557232124i</v>
      </c>
      <c r="L269" s="86">
        <f t="shared" si="43"/>
        <v>2.7219661208662507E-2</v>
      </c>
      <c r="M269" s="72">
        <f t="shared" si="30"/>
        <v>77.36947328575711</v>
      </c>
      <c r="N269" s="72">
        <f t="shared" si="31"/>
        <v>56.391931402685827</v>
      </c>
      <c r="O269" s="72">
        <f t="shared" si="32"/>
        <v>78.112219140343086</v>
      </c>
      <c r="P269" s="73">
        <f t="shared" si="33"/>
        <v>7.8754647889109277</v>
      </c>
      <c r="Q269" s="74">
        <f t="shared" si="34"/>
        <v>-33.949867449832553</v>
      </c>
      <c r="R269" s="87">
        <f t="shared" si="46"/>
        <v>1.8273710597520691</v>
      </c>
      <c r="S269" s="72">
        <f t="shared" si="47"/>
        <v>0.62335710255993693</v>
      </c>
      <c r="T269" s="88">
        <f t="shared" si="48"/>
        <v>104.56655722151189</v>
      </c>
      <c r="U269" s="88">
        <f t="shared" si="49"/>
        <v>83.589015338440589</v>
      </c>
      <c r="V269" s="89">
        <f t="shared" si="39"/>
        <v>105.30930307609785</v>
      </c>
      <c r="W269" s="125">
        <f t="shared" si="40"/>
        <v>66.593554964150798</v>
      </c>
    </row>
    <row r="270" spans="3:23" x14ac:dyDescent="0.2">
      <c r="C270" s="90">
        <v>107.2</v>
      </c>
      <c r="D270" s="81">
        <f t="shared" si="41"/>
        <v>673.5574649296517</v>
      </c>
      <c r="E270" s="82" t="str">
        <f t="shared" si="42"/>
        <v>673.557464929652i</v>
      </c>
      <c r="F270" s="83" t="str">
        <f t="shared" si="25"/>
        <v>6.28438142215907+0.272589500888874i</v>
      </c>
      <c r="G270" s="84" t="str">
        <f t="shared" si="26"/>
        <v>-0.0000586388319576909-0.0000490145059127946i</v>
      </c>
      <c r="H270" s="84" t="str">
        <f t="shared" si="27"/>
        <v>0.0330140863474014-0.0394966229998581i</v>
      </c>
      <c r="I270" s="85">
        <f t="shared" si="44"/>
        <v>7.642600606624482E-2</v>
      </c>
      <c r="J270" s="70">
        <f t="shared" si="45"/>
        <v>0</v>
      </c>
      <c r="K270" s="84" t="str">
        <f t="shared" si="29"/>
        <v>0.0170917388421126-0.0187342754031322i</v>
      </c>
      <c r="L270" s="86">
        <f t="shared" si="43"/>
        <v>2.5359428454272873E-2</v>
      </c>
      <c r="M270" s="72">
        <f t="shared" si="30"/>
        <v>77.404769804396523</v>
      </c>
      <c r="N270" s="72">
        <f t="shared" si="31"/>
        <v>55.982028393288644</v>
      </c>
      <c r="O270" s="72">
        <f t="shared" si="32"/>
        <v>78.111905383226329</v>
      </c>
      <c r="P270" s="73">
        <f t="shared" si="33"/>
        <v>7.7671502704119408</v>
      </c>
      <c r="Q270" s="74">
        <f t="shared" si="34"/>
        <v>-33.225874448549931</v>
      </c>
      <c r="R270" s="87">
        <f t="shared" si="46"/>
        <v>1.7502309575594992</v>
      </c>
      <c r="S270" s="72">
        <f t="shared" si="47"/>
        <v>0.58075593677120263</v>
      </c>
      <c r="T270" s="88">
        <f t="shared" si="48"/>
        <v>104.60185374015128</v>
      </c>
      <c r="U270" s="88">
        <f t="shared" si="49"/>
        <v>83.17911232904342</v>
      </c>
      <c r="V270" s="89">
        <f t="shared" si="39"/>
        <v>105.30898931898111</v>
      </c>
      <c r="W270" s="125">
        <f t="shared" si="40"/>
        <v>67.522215874517741</v>
      </c>
    </row>
    <row r="271" spans="3:23" x14ac:dyDescent="0.2">
      <c r="C271" s="90">
        <v>109.6</v>
      </c>
      <c r="D271" s="81">
        <f t="shared" si="41"/>
        <v>688.63710966688257</v>
      </c>
      <c r="E271" s="82" t="str">
        <f t="shared" si="42"/>
        <v>688.637109666883i</v>
      </c>
      <c r="F271" s="83" t="str">
        <f t="shared" si="25"/>
        <v>6.26192757941719+0.264693528545352i</v>
      </c>
      <c r="G271" s="84" t="str">
        <f t="shared" si="26"/>
        <v>-0.0000570237505312389-0.0000461855669042056i</v>
      </c>
      <c r="H271" s="84" t="str">
        <f t="shared" si="27"/>
        <v>0.0318050953012386-0.0392686707481977i</v>
      </c>
      <c r="I271" s="85">
        <f t="shared" si="44"/>
        <v>7.3381296764991971E-2</v>
      </c>
      <c r="J271" s="70">
        <f t="shared" si="45"/>
        <v>0</v>
      </c>
      <c r="K271" s="84" t="str">
        <f t="shared" si="29"/>
        <v>0.0157007423984529-0.0177928925786676i</v>
      </c>
      <c r="L271" s="86">
        <f t="shared" si="43"/>
        <v>2.3729735316235217E-2</v>
      </c>
      <c r="M271" s="72">
        <f t="shared" si="30"/>
        <v>77.436284910272107</v>
      </c>
      <c r="N271" s="72">
        <f t="shared" si="31"/>
        <v>55.597412425197689</v>
      </c>
      <c r="O271" s="72">
        <f t="shared" si="32"/>
        <v>78.111619965882213</v>
      </c>
      <c r="P271" s="73">
        <f t="shared" si="33"/>
        <v>7.6722686311928445</v>
      </c>
      <c r="Q271" s="74">
        <f t="shared" si="34"/>
        <v>-32.556005757767366</v>
      </c>
      <c r="R271" s="87">
        <f t="shared" si="46"/>
        <v>1.6805041099835178</v>
      </c>
      <c r="S271" s="72">
        <f t="shared" si="47"/>
        <v>0.54343435569782517</v>
      </c>
      <c r="T271" s="88">
        <f t="shared" si="48"/>
        <v>104.63336884602688</v>
      </c>
      <c r="U271" s="88">
        <f t="shared" si="49"/>
        <v>82.794496360952451</v>
      </c>
      <c r="V271" s="89">
        <f t="shared" si="39"/>
        <v>105.30870390163699</v>
      </c>
      <c r="W271" s="125">
        <f t="shared" si="40"/>
        <v>68.357251616075771</v>
      </c>
    </row>
    <row r="272" spans="3:23" x14ac:dyDescent="0.2">
      <c r="C272" s="90">
        <v>112.2</v>
      </c>
      <c r="D272" s="81">
        <f t="shared" si="41"/>
        <v>704.97339146554964</v>
      </c>
      <c r="E272" s="82" t="str">
        <f t="shared" si="42"/>
        <v>704.97339146555i</v>
      </c>
      <c r="F272" s="83" t="str">
        <f t="shared" si="25"/>
        <v>6.2393688156477+0.256676031319132i</v>
      </c>
      <c r="G272" s="84" t="str">
        <f t="shared" si="26"/>
        <v>-0.000055311193346964-0.0000433524759529034i</v>
      </c>
      <c r="H272" s="84" t="str">
        <f t="shared" si="27"/>
        <v>0.030562342000947-0.038992919559816i</v>
      </c>
      <c r="I272" s="85">
        <f t="shared" si="44"/>
        <v>7.0276349369558927E-2</v>
      </c>
      <c r="J272" s="70">
        <f t="shared" si="45"/>
        <v>0</v>
      </c>
      <c r="K272" s="84" t="str">
        <f t="shared" si="29"/>
        <v>0.0143482993119641-0.0168325220681142i</v>
      </c>
      <c r="L272" s="86">
        <f t="shared" si="43"/>
        <v>2.2118035453431686E-2</v>
      </c>
      <c r="M272" s="72">
        <f t="shared" si="30"/>
        <v>77.468053241952347</v>
      </c>
      <c r="N272" s="72">
        <f t="shared" si="31"/>
        <v>55.190131596297562</v>
      </c>
      <c r="O272" s="72">
        <f t="shared" si="32"/>
        <v>78.111327501943421</v>
      </c>
      <c r="P272" s="73">
        <f t="shared" si="33"/>
        <v>7.5783271200845261</v>
      </c>
      <c r="Q272" s="74">
        <f t="shared" si="34"/>
        <v>-31.857083794140671</v>
      </c>
      <c r="R272" s="87">
        <f t="shared" si="46"/>
        <v>1.6093977506067081</v>
      </c>
      <c r="S272" s="72">
        <f t="shared" si="47"/>
        <v>0.50652483838341689</v>
      </c>
      <c r="T272" s="88">
        <f t="shared" si="48"/>
        <v>104.66513717770712</v>
      </c>
      <c r="U272" s="88">
        <f t="shared" si="49"/>
        <v>82.387215532052323</v>
      </c>
      <c r="V272" s="89">
        <f t="shared" si="39"/>
        <v>105.3084114376982</v>
      </c>
      <c r="W272" s="125">
        <f t="shared" si="40"/>
        <v>69.204613231676404</v>
      </c>
    </row>
    <row r="273" spans="3:23" x14ac:dyDescent="0.2">
      <c r="C273" s="90">
        <v>114.8</v>
      </c>
      <c r="D273" s="81">
        <f t="shared" si="41"/>
        <v>721.30967326421649</v>
      </c>
      <c r="E273" s="82" t="str">
        <f t="shared" si="42"/>
        <v>721.309673264216i</v>
      </c>
      <c r="F273" s="83" t="str">
        <f t="shared" si="25"/>
        <v>6.21846779260735+0.249163302176947i</v>
      </c>
      <c r="G273" s="84" t="str">
        <f t="shared" si="26"/>
        <v>-0.0000536416378956824-0.0000407387028869097i</v>
      </c>
      <c r="H273" s="84" t="str">
        <f t="shared" si="27"/>
        <v>0.0293852204685648-0.0386922323038921i</v>
      </c>
      <c r="I273" s="85">
        <f t="shared" si="44"/>
        <v>6.7357755522578194E-2</v>
      </c>
      <c r="J273" s="70">
        <f t="shared" si="45"/>
        <v>0</v>
      </c>
      <c r="K273" s="84" t="str">
        <f t="shared" si="29"/>
        <v>0.0131371145613554-0.0159310703704383i</v>
      </c>
      <c r="L273" s="86">
        <f t="shared" si="43"/>
        <v>2.0649038286226145E-2</v>
      </c>
      <c r="M273" s="72">
        <f t="shared" si="30"/>
        <v>77.497582769208819</v>
      </c>
      <c r="N273" s="72">
        <f t="shared" si="31"/>
        <v>54.792177812182452</v>
      </c>
      <c r="O273" s="72">
        <f t="shared" si="32"/>
        <v>78.111051601609688</v>
      </c>
      <c r="P273" s="73">
        <f t="shared" si="33"/>
        <v>7.4925028600961614</v>
      </c>
      <c r="Q273" s="74">
        <f t="shared" si="34"/>
        <v>-31.184860682425558</v>
      </c>
      <c r="R273" s="87">
        <f t="shared" si="46"/>
        <v>1.542559071386697</v>
      </c>
      <c r="S273" s="72">
        <f t="shared" si="47"/>
        <v>0.4728833536199481</v>
      </c>
      <c r="T273" s="88">
        <f t="shared" si="48"/>
        <v>104.69466670496359</v>
      </c>
      <c r="U273" s="88">
        <f t="shared" si="49"/>
        <v>81.989261747937221</v>
      </c>
      <c r="V273" s="89">
        <f t="shared" si="39"/>
        <v>105.30813553736445</v>
      </c>
      <c r="W273" s="125">
        <f t="shared" si="40"/>
        <v>69.997330275539369</v>
      </c>
    </row>
    <row r="274" spans="3:23" x14ac:dyDescent="0.2">
      <c r="C274" s="90">
        <v>117.5</v>
      </c>
      <c r="D274" s="81">
        <f t="shared" si="41"/>
        <v>738.27427359360138</v>
      </c>
      <c r="E274" s="82" t="str">
        <f t="shared" si="42"/>
        <v>738.274273593601i</v>
      </c>
      <c r="F274" s="83" t="str">
        <f t="shared" si="25"/>
        <v>6.19834458973194+0.241844783715587i</v>
      </c>
      <c r="G274" s="84" t="str">
        <f t="shared" si="26"/>
        <v>-0.0000519567561558189-0.0000382352025894602i</v>
      </c>
      <c r="H274" s="84" t="str">
        <f t="shared" si="27"/>
        <v>0.0282280664174379-0.0383583364092171i</v>
      </c>
      <c r="I274" s="85">
        <f t="shared" si="44"/>
        <v>6.4509187154174308E-2</v>
      </c>
      <c r="J274" s="70">
        <f t="shared" si="45"/>
        <v>0</v>
      </c>
      <c r="K274" s="84" t="str">
        <f t="shared" si="29"/>
        <v>0.0120104765375628-0.0150539240345624i</v>
      </c>
      <c r="L274" s="86">
        <f t="shared" si="43"/>
        <v>1.9258041839650315E-2</v>
      </c>
      <c r="M274" s="72">
        <f t="shared" si="30"/>
        <v>77.526101157630691</v>
      </c>
      <c r="N274" s="72">
        <f t="shared" si="31"/>
        <v>54.388343310964757</v>
      </c>
      <c r="O274" s="72">
        <f t="shared" si="32"/>
        <v>78.110781646930519</v>
      </c>
      <c r="P274" s="73">
        <f t="shared" si="33"/>
        <v>7.4109554460031148</v>
      </c>
      <c r="Q274" s="74">
        <f t="shared" si="34"/>
        <v>-30.51377847270934</v>
      </c>
      <c r="R274" s="87">
        <f t="shared" si="46"/>
        <v>1.4773240447285756</v>
      </c>
      <c r="S274" s="72">
        <f t="shared" si="47"/>
        <v>0.44102816233150061</v>
      </c>
      <c r="T274" s="88">
        <f t="shared" si="48"/>
        <v>104.72318509338547</v>
      </c>
      <c r="U274" s="88">
        <f t="shared" si="49"/>
        <v>81.585427246719519</v>
      </c>
      <c r="V274" s="89">
        <f t="shared" si="39"/>
        <v>105.30786558268528</v>
      </c>
      <c r="W274" s="125">
        <f t="shared" si="40"/>
        <v>70.767555021724448</v>
      </c>
    </row>
    <row r="275" spans="3:23" x14ac:dyDescent="0.2">
      <c r="C275" s="90">
        <v>120.2</v>
      </c>
      <c r="D275" s="81">
        <f t="shared" si="41"/>
        <v>755.23887392298627</v>
      </c>
      <c r="E275" s="82" t="str">
        <f t="shared" si="42"/>
        <v>755.238873922986i</v>
      </c>
      <c r="F275" s="83" t="str">
        <f t="shared" si="25"/>
        <v>6.17967645548677+0.234972452509581i</v>
      </c>
      <c r="G275" s="84" t="str">
        <f t="shared" si="26"/>
        <v>-0.0000503239270828429-0.0000359267277441992i</v>
      </c>
      <c r="H275" s="84" t="str">
        <f t="shared" si="27"/>
        <v>0.0271332614052667-0.0380065860214287i</v>
      </c>
      <c r="I275" s="85">
        <f t="shared" si="44"/>
        <v>6.1832252129815739E-2</v>
      </c>
      <c r="J275" s="70">
        <f t="shared" si="45"/>
        <v>0</v>
      </c>
      <c r="K275" s="84" t="str">
        <f t="shared" si="29"/>
        <v>0.011001128849041-0.0142333183069653i</v>
      </c>
      <c r="L275" s="86">
        <f t="shared" si="43"/>
        <v>1.7989224162831361E-2</v>
      </c>
      <c r="M275" s="72">
        <f t="shared" si="30"/>
        <v>77.552635111498191</v>
      </c>
      <c r="N275" s="72">
        <f t="shared" si="31"/>
        <v>53.99368148488189</v>
      </c>
      <c r="O275" s="72">
        <f t="shared" si="32"/>
        <v>78.110527547955385</v>
      </c>
      <c r="P275" s="73">
        <f t="shared" si="33"/>
        <v>7.3362381561452201</v>
      </c>
      <c r="Q275" s="74">
        <f t="shared" si="34"/>
        <v>-29.868913183025345</v>
      </c>
      <c r="R275" s="87">
        <f t="shared" si="46"/>
        <v>1.4160195910201538</v>
      </c>
      <c r="S275" s="72">
        <f t="shared" si="47"/>
        <v>0.41197098543882915</v>
      </c>
      <c r="T275" s="88">
        <f t="shared" si="48"/>
        <v>104.74971904725297</v>
      </c>
      <c r="U275" s="88">
        <f t="shared" si="49"/>
        <v>81.190765420636666</v>
      </c>
      <c r="V275" s="89">
        <f t="shared" si="39"/>
        <v>105.30761148371016</v>
      </c>
      <c r="W275" s="125">
        <f t="shared" si="40"/>
        <v>71.488300424007164</v>
      </c>
    </row>
    <row r="276" spans="3:23" x14ac:dyDescent="0.2">
      <c r="C276" s="90">
        <v>123</v>
      </c>
      <c r="D276" s="81">
        <f t="shared" si="41"/>
        <v>772.8317927830891</v>
      </c>
      <c r="E276" s="82" t="str">
        <f t="shared" si="42"/>
        <v>772.831792783089i</v>
      </c>
      <c r="F276" s="83" t="str">
        <f t="shared" si="25"/>
        <v>6.16170501055612+0.22827315933207i</v>
      </c>
      <c r="G276" s="84" t="str">
        <f t="shared" si="26"/>
        <v>-0.0000486869620778223-0.0000337195789756969i</v>
      </c>
      <c r="H276" s="84" t="str">
        <f t="shared" si="27"/>
        <v>0.0260595626716788-0.0376268321877657i</v>
      </c>
      <c r="I276" s="85">
        <f t="shared" si="44"/>
        <v>5.9223561887694391E-2</v>
      </c>
      <c r="J276" s="70">
        <f t="shared" si="45"/>
        <v>0</v>
      </c>
      <c r="K276" s="84" t="str">
        <f t="shared" si="29"/>
        <v>0.0100630894554517-0.0134382356764327i</v>
      </c>
      <c r="L276" s="86">
        <f t="shared" si="43"/>
        <v>1.6788446845487876E-2</v>
      </c>
      <c r="M276" s="72">
        <f t="shared" si="30"/>
        <v>77.578250031554816</v>
      </c>
      <c r="N276" s="72">
        <f t="shared" si="31"/>
        <v>53.593656089055756</v>
      </c>
      <c r="O276" s="72">
        <f t="shared" si="32"/>
        <v>78.110279707572531</v>
      </c>
      <c r="P276" s="73">
        <f t="shared" si="33"/>
        <v>7.2651443279780521</v>
      </c>
      <c r="Q276" s="74">
        <f t="shared" si="34"/>
        <v>-29.226495839337677</v>
      </c>
      <c r="R276" s="87">
        <f t="shared" si="46"/>
        <v>1.3562780101702192</v>
      </c>
      <c r="S276" s="72">
        <f t="shared" si="47"/>
        <v>0.38447199992167225</v>
      </c>
      <c r="T276" s="88">
        <f t="shared" si="48"/>
        <v>104.77533396730959</v>
      </c>
      <c r="U276" s="88">
        <f t="shared" si="49"/>
        <v>80.790740024810532</v>
      </c>
      <c r="V276" s="89">
        <f t="shared" si="39"/>
        <v>105.30736364332731</v>
      </c>
      <c r="W276" s="125">
        <f t="shared" si="40"/>
        <v>72.187856649853259</v>
      </c>
    </row>
    <row r="277" spans="3:23" x14ac:dyDescent="0.2">
      <c r="C277" s="90">
        <v>125.9</v>
      </c>
      <c r="D277" s="81">
        <f t="shared" si="41"/>
        <v>791.05303017390997</v>
      </c>
      <c r="E277" s="82" t="str">
        <f t="shared" si="42"/>
        <v>791.05303017391i</v>
      </c>
      <c r="F277" s="83" t="str">
        <f t="shared" si="25"/>
        <v>6.1444379539078+0.221751407753731i</v>
      </c>
      <c r="G277" s="84" t="str">
        <f t="shared" si="26"/>
        <v>-0.0000470525648308415-0.0000316152890267825i</v>
      </c>
      <c r="H277" s="84" t="str">
        <f t="shared" si="27"/>
        <v>0.0250093701844603-0.0372210739868915i</v>
      </c>
      <c r="I277" s="85">
        <f t="shared" si="44"/>
        <v>5.668747972354686E-2</v>
      </c>
      <c r="J277" s="70">
        <f t="shared" si="45"/>
        <v>0</v>
      </c>
      <c r="K277" s="84" t="str">
        <f t="shared" si="29"/>
        <v>0.00919385911682017-0.0126707117794198i</v>
      </c>
      <c r="L277" s="86">
        <f t="shared" si="43"/>
        <v>1.5654838947017791E-2</v>
      </c>
      <c r="M277" s="72">
        <f t="shared" si="30"/>
        <v>77.602927286564494</v>
      </c>
      <c r="N277" s="72">
        <f t="shared" si="31"/>
        <v>53.188830144060205</v>
      </c>
      <c r="O277" s="72">
        <f t="shared" si="32"/>
        <v>78.110038693949008</v>
      </c>
      <c r="P277" s="73">
        <f t="shared" si="33"/>
        <v>7.1975967047724012</v>
      </c>
      <c r="Q277" s="74">
        <f t="shared" si="34"/>
        <v>-28.587956966098616</v>
      </c>
      <c r="R277" s="87">
        <f t="shared" si="46"/>
        <v>1.2981992259569228</v>
      </c>
      <c r="S277" s="72">
        <f t="shared" si="47"/>
        <v>0.35851126038078163</v>
      </c>
      <c r="T277" s="88">
        <f t="shared" si="48"/>
        <v>104.80001122231926</v>
      </c>
      <c r="U277" s="88">
        <f t="shared" si="49"/>
        <v>80.385914079814967</v>
      </c>
      <c r="V277" s="89">
        <f t="shared" si="39"/>
        <v>105.30712262970377</v>
      </c>
      <c r="W277" s="125">
        <f t="shared" si="40"/>
        <v>72.865321412191832</v>
      </c>
    </row>
    <row r="278" spans="3:23" x14ac:dyDescent="0.2">
      <c r="C278" s="90">
        <v>128.80000000000001</v>
      </c>
      <c r="D278" s="81">
        <f t="shared" si="41"/>
        <v>809.27426756473074</v>
      </c>
      <c r="E278" s="82" t="str">
        <f t="shared" si="42"/>
        <v>809.274267564731i</v>
      </c>
      <c r="F278" s="83" t="str">
        <f t="shared" si="25"/>
        <v>6.12840903159867+0.215615202674058i</v>
      </c>
      <c r="G278" s="84" t="str">
        <f t="shared" si="26"/>
        <v>-0.0000454800897103385-0.0000296783319578708i</v>
      </c>
      <c r="H278" s="84" t="str">
        <f t="shared" si="27"/>
        <v>0.0240179103577488-0.0368058662891124i</v>
      </c>
      <c r="I278" s="85">
        <f t="shared" si="44"/>
        <v>5.4306923572064111E-2</v>
      </c>
      <c r="J278" s="70">
        <f t="shared" si="45"/>
        <v>0</v>
      </c>
      <c r="K278" s="84" t="str">
        <f t="shared" si="29"/>
        <v>0.00841587990724636-0.0119560695897616i</v>
      </c>
      <c r="L278" s="86">
        <f t="shared" si="43"/>
        <v>1.4621033980140228E-2</v>
      </c>
      <c r="M278" s="72">
        <f t="shared" si="30"/>
        <v>77.625893645582565</v>
      </c>
      <c r="N278" s="72">
        <f t="shared" si="31"/>
        <v>52.793222449831234</v>
      </c>
      <c r="O278" s="72">
        <f t="shared" si="32"/>
        <v>78.109812504683788</v>
      </c>
      <c r="P278" s="73">
        <f t="shared" si="33"/>
        <v>7.1355491534628612</v>
      </c>
      <c r="Q278" s="74">
        <f t="shared" si="34"/>
        <v>-27.975273041356779</v>
      </c>
      <c r="R278" s="87">
        <f t="shared" si="46"/>
        <v>1.2436821409096899</v>
      </c>
      <c r="S278" s="72">
        <f t="shared" si="47"/>
        <v>0.33483610646079881</v>
      </c>
      <c r="T278" s="88">
        <f t="shared" si="48"/>
        <v>104.82297758133734</v>
      </c>
      <c r="U278" s="88">
        <f t="shared" si="49"/>
        <v>79.990306385585995</v>
      </c>
      <c r="V278" s="89">
        <f t="shared" si="39"/>
        <v>105.30689644043855</v>
      </c>
      <c r="W278" s="125">
        <f t="shared" si="40"/>
        <v>73.49892573216421</v>
      </c>
    </row>
    <row r="279" spans="3:23" x14ac:dyDescent="0.2">
      <c r="C279" s="90">
        <v>131.80000000000001</v>
      </c>
      <c r="D279" s="81">
        <f t="shared" si="41"/>
        <v>828.12382348626954</v>
      </c>
      <c r="E279" s="82" t="str">
        <f t="shared" si="42"/>
        <v>828.12382348627i</v>
      </c>
      <c r="F279" s="83" t="str">
        <f t="shared" si="25"/>
        <v>6.1130055248505+0.20963660507873i</v>
      </c>
      <c r="G279" s="84" t="str">
        <f t="shared" si="26"/>
        <v>-0.0000439177270147823-0.0000278338311367409i</v>
      </c>
      <c r="H279" s="84" t="str">
        <f t="shared" si="27"/>
        <v>0.0230498586632291-0.0363693160143078i</v>
      </c>
      <c r="I279" s="85">
        <f t="shared" si="44"/>
        <v>5.1995085362883539E-2</v>
      </c>
      <c r="J279" s="70">
        <f t="shared" si="45"/>
        <v>0</v>
      </c>
      <c r="K279" s="84" t="str">
        <f t="shared" si="29"/>
        <v>0.00769521507757968-0.0112683010568914i</v>
      </c>
      <c r="L279" s="86">
        <f t="shared" si="43"/>
        <v>1.3645180240617911E-2</v>
      </c>
      <c r="M279" s="72">
        <f t="shared" si="30"/>
        <v>77.648017422234986</v>
      </c>
      <c r="N279" s="72">
        <f t="shared" si="31"/>
        <v>52.39323719946114</v>
      </c>
      <c r="O279" s="72">
        <f t="shared" si="32"/>
        <v>78.10959297434178</v>
      </c>
      <c r="P279" s="73">
        <f t="shared" si="33"/>
        <v>7.0765099304498653</v>
      </c>
      <c r="Q279" s="74">
        <f t="shared" si="34"/>
        <v>-27.367198433358993</v>
      </c>
      <c r="R279" s="87">
        <f t="shared" si="46"/>
        <v>1.1907387645533549</v>
      </c>
      <c r="S279" s="72">
        <f t="shared" si="47"/>
        <v>0.31248809283462919</v>
      </c>
      <c r="T279" s="88">
        <f t="shared" si="48"/>
        <v>104.84510135798976</v>
      </c>
      <c r="U279" s="88">
        <f t="shared" si="49"/>
        <v>79.590321135215902</v>
      </c>
      <c r="V279" s="89">
        <f t="shared" si="39"/>
        <v>105.30667691009654</v>
      </c>
      <c r="W279" s="125">
        <f t="shared" si="40"/>
        <v>74.11212623780402</v>
      </c>
    </row>
    <row r="280" spans="3:23" x14ac:dyDescent="0.2">
      <c r="C280" s="90">
        <v>134.9</v>
      </c>
      <c r="D280" s="81">
        <f t="shared" si="41"/>
        <v>847.60169793852617</v>
      </c>
      <c r="E280" s="82" t="str">
        <f t="shared" si="42"/>
        <v>847.601697938526i</v>
      </c>
      <c r="F280" s="83" t="str">
        <f t="shared" si="25"/>
        <v>6.09822726308153+0.203818042271014i</v>
      </c>
      <c r="G280" s="84" t="str">
        <f t="shared" si="26"/>
        <v>-0.0000423705944582643-0.0000260816037478713i</v>
      </c>
      <c r="H280" s="84" t="str">
        <f t="shared" si="27"/>
        <v>0.0221068116216555-0.0359133878054895i</v>
      </c>
      <c r="I280" s="85">
        <f t="shared" si="44"/>
        <v>4.9754570933811415E-2</v>
      </c>
      <c r="J280" s="70">
        <f t="shared" si="45"/>
        <v>0</v>
      </c>
      <c r="K280" s="84" t="str">
        <f t="shared" si="29"/>
        <v>0.00702928188040007-0.0106084132387843i</v>
      </c>
      <c r="L280" s="86">
        <f t="shared" si="43"/>
        <v>1.2725927675377334E-2</v>
      </c>
      <c r="M280" s="72">
        <f t="shared" si="30"/>
        <v>77.66929279560614</v>
      </c>
      <c r="N280" s="72">
        <f t="shared" si="31"/>
        <v>51.989371468101524</v>
      </c>
      <c r="O280" s="72">
        <f t="shared" si="32"/>
        <v>78.1093804125898</v>
      </c>
      <c r="P280" s="73">
        <f t="shared" si="33"/>
        <v>7.020401154301064</v>
      </c>
      <c r="Q280" s="74">
        <f t="shared" si="34"/>
        <v>-26.764830867591609</v>
      </c>
      <c r="R280" s="87">
        <f t="shared" si="46"/>
        <v>1.1394287731451715</v>
      </c>
      <c r="S280" s="72">
        <f t="shared" si="47"/>
        <v>0.29143630195463122</v>
      </c>
      <c r="T280" s="88">
        <f t="shared" si="48"/>
        <v>104.8663767313609</v>
      </c>
      <c r="U280" s="88">
        <f t="shared" si="49"/>
        <v>79.186455403856286</v>
      </c>
      <c r="V280" s="89">
        <f t="shared" si="39"/>
        <v>105.30646434834458</v>
      </c>
      <c r="W280" s="125">
        <f t="shared" si="40"/>
        <v>74.70444861505753</v>
      </c>
    </row>
    <row r="281" spans="3:23" x14ac:dyDescent="0.2">
      <c r="C281" s="90">
        <v>138</v>
      </c>
      <c r="D281" s="81">
        <f t="shared" si="41"/>
        <v>867.07957239078291</v>
      </c>
      <c r="E281" s="82" t="str">
        <f t="shared" si="42"/>
        <v>867.079572390783i</v>
      </c>
      <c r="F281" s="83" t="str">
        <f t="shared" si="25"/>
        <v>6.08449650746826+0.19833251087269i</v>
      </c>
      <c r="G281" s="84" t="str">
        <f t="shared" si="26"/>
        <v>-0.0000408899990375042-0.0000244705163954618i</v>
      </c>
      <c r="H281" s="84" t="str">
        <f t="shared" si="27"/>
        <v>0.0212178848923587-0.0354548828804987i</v>
      </c>
      <c r="I281" s="85">
        <f t="shared" si="44"/>
        <v>4.7652892818250393E-2</v>
      </c>
      <c r="J281" s="70">
        <f t="shared" si="45"/>
        <v>0</v>
      </c>
      <c r="K281" s="84" t="str">
        <f t="shared" si="29"/>
        <v>0.00643345947390393-0.00999607347225812i</v>
      </c>
      <c r="L281" s="86">
        <f t="shared" si="43"/>
        <v>1.1887425527217686E-2</v>
      </c>
      <c r="M281" s="72">
        <f t="shared" si="30"/>
        <v>77.689103958482917</v>
      </c>
      <c r="N281" s="72">
        <f t="shared" si="31"/>
        <v>51.594681372019892</v>
      </c>
      <c r="O281" s="72">
        <f t="shared" si="32"/>
        <v>78.109181256163879</v>
      </c>
      <c r="P281" s="73">
        <f t="shared" si="33"/>
        <v>6.9687322478464608</v>
      </c>
      <c r="Q281" s="74">
        <f t="shared" si="34"/>
        <v>-26.187379162327559</v>
      </c>
      <c r="R281" s="87">
        <f t="shared" si="46"/>
        <v>1.0912982703227185</v>
      </c>
      <c r="S281" s="72">
        <f t="shared" si="47"/>
        <v>0.27223377531184045</v>
      </c>
      <c r="T281" s="88">
        <f t="shared" si="48"/>
        <v>104.88618789423768</v>
      </c>
      <c r="U281" s="88">
        <f t="shared" si="49"/>
        <v>78.791765307774654</v>
      </c>
      <c r="V281" s="89">
        <f t="shared" si="39"/>
        <v>105.30626519191864</v>
      </c>
      <c r="W281" s="125">
        <f t="shared" si="40"/>
        <v>75.258336615048719</v>
      </c>
    </row>
    <row r="282" spans="3:23" x14ac:dyDescent="0.2">
      <c r="C282" s="90">
        <v>141.30000000000001</v>
      </c>
      <c r="D282" s="81">
        <f t="shared" si="41"/>
        <v>887.81408390447564</v>
      </c>
      <c r="E282" s="82" t="str">
        <f t="shared" si="42"/>
        <v>887.814083904476i</v>
      </c>
      <c r="F282" s="83" t="str">
        <f t="shared" si="25"/>
        <v>6.07092117246625+0.19282682174917i</v>
      </c>
      <c r="G282" s="84" t="str">
        <f t="shared" si="26"/>
        <v>-0.0000393845512529588-0.0000228953356345062i</v>
      </c>
      <c r="H282" s="84" t="str">
        <f t="shared" si="27"/>
        <v>0.0203268014320346-0.0349661592906345i</v>
      </c>
      <c r="I282" s="85">
        <f t="shared" si="44"/>
        <v>4.5555891728882095E-2</v>
      </c>
      <c r="J282" s="70">
        <f t="shared" si="45"/>
        <v>0</v>
      </c>
      <c r="K282" s="84" t="str">
        <f t="shared" si="29"/>
        <v>0.00586658113455324-0.00939218828985043i</v>
      </c>
      <c r="L282" s="86">
        <f t="shared" si="43"/>
        <v>1.1073841929533737E-2</v>
      </c>
      <c r="M282" s="72">
        <f t="shared" si="30"/>
        <v>77.708732617101745</v>
      </c>
      <c r="N282" s="72">
        <f t="shared" si="31"/>
        <v>51.184153097664073</v>
      </c>
      <c r="O282" s="72">
        <f t="shared" si="32"/>
        <v>78.108982818831251</v>
      </c>
      <c r="P282" s="73">
        <f t="shared" si="33"/>
        <v>6.9180812148548823</v>
      </c>
      <c r="Q282" s="74">
        <f t="shared" si="34"/>
        <v>-25.598470848485039</v>
      </c>
      <c r="R282" s="87">
        <f t="shared" si="46"/>
        <v>1.0432748760154578</v>
      </c>
      <c r="S282" s="72">
        <f t="shared" si="47"/>
        <v>0.25360190806504468</v>
      </c>
      <c r="T282" s="88">
        <f t="shared" si="48"/>
        <v>104.90581655285652</v>
      </c>
      <c r="U282" s="88">
        <f t="shared" si="49"/>
        <v>78.381237033418842</v>
      </c>
      <c r="V282" s="89">
        <f t="shared" si="39"/>
        <v>105.30606675458603</v>
      </c>
      <c r="W282" s="125">
        <f t="shared" si="40"/>
        <v>75.809343805105229</v>
      </c>
    </row>
    <row r="283" spans="3:23" x14ac:dyDescent="0.2">
      <c r="C283" s="90">
        <v>144.5</v>
      </c>
      <c r="D283" s="81">
        <f t="shared" si="41"/>
        <v>907.9202768874502</v>
      </c>
      <c r="E283" s="82" t="str">
        <f t="shared" si="42"/>
        <v>907.92027688745i</v>
      </c>
      <c r="F283" s="83" t="str">
        <f t="shared" si="25"/>
        <v>6.05868635579066+0.187788336356099i</v>
      </c>
      <c r="G283" s="84" t="str">
        <f t="shared" si="26"/>
        <v>-0.0000379916836170342-0.0000214921548444466i</v>
      </c>
      <c r="H283" s="84" t="str">
        <f t="shared" si="27"/>
        <v>0.0195131631772779-0.0344934199089981i</v>
      </c>
      <c r="I283" s="85">
        <f t="shared" si="44"/>
        <v>4.3649521691703497E-2</v>
      </c>
      <c r="J283" s="70">
        <f t="shared" si="45"/>
        <v>0</v>
      </c>
      <c r="K283" s="84" t="str">
        <f t="shared" si="29"/>
        <v>0.00537500449929429-0.00884991421584454i</v>
      </c>
      <c r="L283" s="86">
        <f t="shared" si="43"/>
        <v>1.0354306108824539E-2</v>
      </c>
      <c r="M283" s="72">
        <f t="shared" si="30"/>
        <v>77.726458766714373</v>
      </c>
      <c r="N283" s="72">
        <f t="shared" si="31"/>
        <v>50.795120403868935</v>
      </c>
      <c r="O283" s="72">
        <f t="shared" si="32"/>
        <v>78.108802698207796</v>
      </c>
      <c r="P283" s="73">
        <f t="shared" si="33"/>
        <v>6.8727965632675971</v>
      </c>
      <c r="Q283" s="74">
        <f t="shared" si="34"/>
        <v>-25.05134530102595</v>
      </c>
      <c r="R283" s="87">
        <f t="shared" si="46"/>
        <v>0.99961712092170418</v>
      </c>
      <c r="S283" s="72">
        <f t="shared" si="47"/>
        <v>0.23712382771911331</v>
      </c>
      <c r="T283" s="88">
        <f t="shared" si="48"/>
        <v>104.92354270246915</v>
      </c>
      <c r="U283" s="88">
        <f t="shared" si="49"/>
        <v>77.992204339623697</v>
      </c>
      <c r="V283" s="89">
        <f t="shared" si="39"/>
        <v>105.30588663396256</v>
      </c>
      <c r="W283" s="125">
        <f t="shared" si="40"/>
        <v>76.308849310567595</v>
      </c>
    </row>
    <row r="284" spans="3:23" x14ac:dyDescent="0.2">
      <c r="C284" s="90">
        <v>147.9</v>
      </c>
      <c r="D284" s="81">
        <f t="shared" si="41"/>
        <v>929.28310693186086</v>
      </c>
      <c r="E284" s="82" t="str">
        <f t="shared" si="42"/>
        <v>929.283106931861i</v>
      </c>
      <c r="F284" s="83" t="str">
        <f t="shared" si="25"/>
        <v>6.0465946802622+0.182731110340944i</v>
      </c>
      <c r="G284" s="84" t="str">
        <f t="shared" si="26"/>
        <v>-0.0000365809336750466-0.0000201220657829928i</v>
      </c>
      <c r="H284" s="84" t="str">
        <f t="shared" si="27"/>
        <v>0.0186990958087068-0.0339940437000156i</v>
      </c>
      <c r="I284" s="85">
        <f t="shared" si="44"/>
        <v>4.1749996885188483E-2</v>
      </c>
      <c r="J284" s="70">
        <f t="shared" si="45"/>
        <v>0</v>
      </c>
      <c r="K284" s="84" t="str">
        <f t="shared" si="29"/>
        <v>0.00490755455043724-0.0083164833946084i</v>
      </c>
      <c r="L284" s="86">
        <f t="shared" si="43"/>
        <v>9.656499765355691E-3</v>
      </c>
      <c r="M284" s="72">
        <f t="shared" si="30"/>
        <v>77.744011009254166</v>
      </c>
      <c r="N284" s="72">
        <f t="shared" si="31"/>
        <v>50.391101626065108</v>
      </c>
      <c r="O284" s="72">
        <f t="shared" si="32"/>
        <v>78.108623519619172</v>
      </c>
      <c r="P284" s="73">
        <f t="shared" si="33"/>
        <v>6.8283778621778524</v>
      </c>
      <c r="Q284" s="74">
        <f t="shared" si="34"/>
        <v>-24.494323754770267</v>
      </c>
      <c r="R284" s="87">
        <f t="shared" si="46"/>
        <v>0.95611612836515114</v>
      </c>
      <c r="S284" s="72">
        <f t="shared" si="47"/>
        <v>0.22114337384504912</v>
      </c>
      <c r="T284" s="88">
        <f t="shared" si="48"/>
        <v>104.94109494500893</v>
      </c>
      <c r="U284" s="88">
        <f t="shared" si="49"/>
        <v>77.58818556181987</v>
      </c>
      <c r="V284" s="89">
        <f t="shared" si="39"/>
        <v>105.30570745537395</v>
      </c>
      <c r="W284" s="125">
        <f t="shared" si="40"/>
        <v>76.805239527459889</v>
      </c>
    </row>
    <row r="285" spans="3:23" x14ac:dyDescent="0.2">
      <c r="C285" s="90">
        <v>151.4</v>
      </c>
      <c r="D285" s="81">
        <f t="shared" si="41"/>
        <v>951.27425550698945</v>
      </c>
      <c r="E285" s="82" t="str">
        <f t="shared" si="42"/>
        <v>951.274255506989i</v>
      </c>
      <c r="F285" s="83" t="str">
        <f t="shared" si="25"/>
        <v>6.03503277130511+0.177816784747509i</v>
      </c>
      <c r="G285" s="84" t="str">
        <f t="shared" si="26"/>
        <v>-0.0000351997033907125-0.0000188287806775611i</v>
      </c>
      <c r="H285" s="84" t="str">
        <f t="shared" si="27"/>
        <v>0.0179113343211513-0.0334845716370669i</v>
      </c>
      <c r="I285" s="85">
        <f t="shared" si="44"/>
        <v>3.9919194638642651E-2</v>
      </c>
      <c r="J285" s="70">
        <f t="shared" si="45"/>
        <v>0</v>
      </c>
      <c r="K285" s="84" t="str">
        <f t="shared" si="29"/>
        <v>0.00447800483142763-0.00780936691953735i</v>
      </c>
      <c r="L285" s="86">
        <f t="shared" si="43"/>
        <v>9.0021519068639068E-3</v>
      </c>
      <c r="M285" s="72">
        <f t="shared" si="30"/>
        <v>77.760825525647434</v>
      </c>
      <c r="N285" s="72">
        <f t="shared" si="31"/>
        <v>49.984787707258789</v>
      </c>
      <c r="O285" s="72">
        <f t="shared" si="32"/>
        <v>78.108451129487392</v>
      </c>
      <c r="P285" s="73">
        <f t="shared" si="33"/>
        <v>6.7862146256773324</v>
      </c>
      <c r="Q285" s="74">
        <f t="shared" si="34"/>
        <v>-23.945513703009961</v>
      </c>
      <c r="R285" s="87">
        <f t="shared" si="46"/>
        <v>0.91418895024862701</v>
      </c>
      <c r="S285" s="72">
        <f t="shared" si="47"/>
        <v>0.20615816216262273</v>
      </c>
      <c r="T285" s="88">
        <f t="shared" si="48"/>
        <v>104.95790946140221</v>
      </c>
      <c r="U285" s="88">
        <f t="shared" si="49"/>
        <v>77.181871643013551</v>
      </c>
      <c r="V285" s="89">
        <f t="shared" si="39"/>
        <v>105.30553506524217</v>
      </c>
      <c r="W285" s="125">
        <f t="shared" si="40"/>
        <v>77.282435970145627</v>
      </c>
    </row>
    <row r="286" spans="3:23" x14ac:dyDescent="0.2">
      <c r="C286" s="90">
        <v>154.9</v>
      </c>
      <c r="D286" s="81">
        <f t="shared" si="41"/>
        <v>973.26540408211793</v>
      </c>
      <c r="E286" s="82" t="str">
        <f t="shared" si="42"/>
        <v>973.265404082118i</v>
      </c>
      <c r="F286" s="83" t="str">
        <f t="shared" si="25"/>
        <v>6.02428458678806+0.173173232086737i</v>
      </c>
      <c r="G286" s="84" t="str">
        <f t="shared" si="26"/>
        <v>-0.0000338869350887021-0.0000176423749806664i</v>
      </c>
      <c r="H286" s="84" t="str">
        <f t="shared" si="27"/>
        <v>0.0171707132145265-0.0329809815722102i</v>
      </c>
      <c r="I286" s="85">
        <f t="shared" si="44"/>
        <v>3.8204420747661567E-2</v>
      </c>
      <c r="J286" s="70">
        <f t="shared" si="45"/>
        <v>0</v>
      </c>
      <c r="K286" s="84" t="str">
        <f t="shared" si="29"/>
        <v>0.00409424758616065-0.00734108137548543i</v>
      </c>
      <c r="L286" s="86">
        <f t="shared" si="43"/>
        <v>8.40561354442859E-3</v>
      </c>
      <c r="M286" s="72">
        <f t="shared" si="30"/>
        <v>77.776484198003956</v>
      </c>
      <c r="N286" s="72">
        <f t="shared" si="31"/>
        <v>49.587760196835141</v>
      </c>
      <c r="O286" s="72">
        <f t="shared" si="32"/>
        <v>78.108289958615856</v>
      </c>
      <c r="P286" s="73">
        <f t="shared" si="33"/>
        <v>6.7472874700676773</v>
      </c>
      <c r="Q286" s="74">
        <f t="shared" si="34"/>
        <v>-23.420145109207365</v>
      </c>
      <c r="R286" s="87">
        <f t="shared" si="46"/>
        <v>0.8749189359735331</v>
      </c>
      <c r="S286" s="72">
        <f t="shared" si="47"/>
        <v>0.19249684498740427</v>
      </c>
      <c r="T286" s="88">
        <f t="shared" si="48"/>
        <v>104.97356813375873</v>
      </c>
      <c r="U286" s="88">
        <f t="shared" si="49"/>
        <v>76.78484413258991</v>
      </c>
      <c r="V286" s="89">
        <f t="shared" si="39"/>
        <v>105.30537389437063</v>
      </c>
      <c r="W286" s="125">
        <f t="shared" si="40"/>
        <v>77.728301871702172</v>
      </c>
    </row>
    <row r="287" spans="3:23" x14ac:dyDescent="0.2">
      <c r="C287" s="90">
        <v>158.5</v>
      </c>
      <c r="D287" s="81">
        <f t="shared" si="41"/>
        <v>995.88487118796445</v>
      </c>
      <c r="E287" s="82" t="str">
        <f t="shared" si="42"/>
        <v>995.884871187964i</v>
      </c>
      <c r="F287" s="83" t="str">
        <f t="shared" si="25"/>
        <v>6.01399889634963+0.168655824129482i</v>
      </c>
      <c r="G287" s="84" t="str">
        <f t="shared" si="26"/>
        <v>-0.0000326043378871191-0.0000165223804090282i</v>
      </c>
      <c r="H287" s="84" t="str">
        <f t="shared" si="27"/>
        <v>0.0164543886853636-0.0324701668368825i</v>
      </c>
      <c r="I287" s="85">
        <f t="shared" si="44"/>
        <v>3.6551770182004437E-2</v>
      </c>
      <c r="J287" s="70">
        <f t="shared" si="45"/>
        <v>0</v>
      </c>
      <c r="K287" s="84" t="str">
        <f t="shared" si="29"/>
        <v>0.00374129157727685-0.00689629221639471i</v>
      </c>
      <c r="L287" s="86">
        <f t="shared" si="43"/>
        <v>7.8457701342894929E-3</v>
      </c>
      <c r="M287" s="72">
        <f t="shared" si="30"/>
        <v>77.791494052051519</v>
      </c>
      <c r="N287" s="72">
        <f t="shared" si="31"/>
        <v>49.188640391703125</v>
      </c>
      <c r="O287" s="72">
        <f t="shared" si="32"/>
        <v>78.108134913106753</v>
      </c>
      <c r="P287" s="73">
        <f t="shared" si="33"/>
        <v>6.7102755121672049</v>
      </c>
      <c r="Q287" s="74">
        <f t="shared" si="34"/>
        <v>-22.90273490946517</v>
      </c>
      <c r="R287" s="87">
        <f t="shared" si="46"/>
        <v>0.83707160715284168</v>
      </c>
      <c r="S287" s="72">
        <f t="shared" si="47"/>
        <v>0.17967587843104904</v>
      </c>
      <c r="T287" s="88">
        <f t="shared" si="48"/>
        <v>104.98857798780628</v>
      </c>
      <c r="U287" s="88">
        <f t="shared" si="49"/>
        <v>76.385724327457893</v>
      </c>
      <c r="V287" s="89">
        <f t="shared" si="39"/>
        <v>105.30521884886153</v>
      </c>
      <c r="W287" s="125">
        <f t="shared" si="40"/>
        <v>78.157028923420654</v>
      </c>
    </row>
    <row r="288" spans="3:23" x14ac:dyDescent="0.2">
      <c r="C288" s="90">
        <v>162.19999999999999</v>
      </c>
      <c r="D288" s="81">
        <f t="shared" si="41"/>
        <v>1019.1326568245288</v>
      </c>
      <c r="E288" s="82" t="str">
        <f t="shared" si="42"/>
        <v>1019.13265682453i</v>
      </c>
      <c r="F288" s="83" t="str">
        <f t="shared" si="25"/>
        <v>6.0041652563915+0.16426379917721i</v>
      </c>
      <c r="G288" s="84" t="str">
        <f t="shared" si="26"/>
        <v>-0.0000313537101514886-0.0000154666318867542i</v>
      </c>
      <c r="H288" s="84" t="str">
        <f t="shared" si="27"/>
        <v>0.0157625496468748-0.0319535899279928i</v>
      </c>
      <c r="I288" s="85">
        <f t="shared" si="44"/>
        <v>3.4961004593459855E-2</v>
      </c>
      <c r="J288" s="70">
        <f t="shared" si="45"/>
        <v>0</v>
      </c>
      <c r="K288" s="84" t="str">
        <f t="shared" si="29"/>
        <v>0.00341713256528039-0.00647458711047804i</v>
      </c>
      <c r="L288" s="86">
        <f t="shared" si="43"/>
        <v>7.3210022005097174E-3</v>
      </c>
      <c r="M288" s="72">
        <f t="shared" si="30"/>
        <v>77.805867165150673</v>
      </c>
      <c r="N288" s="72">
        <f t="shared" si="31"/>
        <v>48.787771205929808</v>
      </c>
      <c r="O288" s="72">
        <f t="shared" si="32"/>
        <v>78.107985953166789</v>
      </c>
      <c r="P288" s="73">
        <f t="shared" si="33"/>
        <v>6.6751079391718111</v>
      </c>
      <c r="Q288" s="74">
        <f t="shared" si="34"/>
        <v>-22.393743454100989</v>
      </c>
      <c r="R288" s="87">
        <f t="shared" si="46"/>
        <v>0.80064150537730494</v>
      </c>
      <c r="S288" s="72">
        <f t="shared" si="47"/>
        <v>0.16765817489647225</v>
      </c>
      <c r="T288" s="88">
        <f t="shared" si="48"/>
        <v>105.00295110090545</v>
      </c>
      <c r="U288" s="88">
        <f t="shared" si="49"/>
        <v>75.984855141684577</v>
      </c>
      <c r="V288" s="89">
        <f t="shared" si="39"/>
        <v>105.30506988892157</v>
      </c>
      <c r="W288" s="125">
        <f t="shared" si="40"/>
        <v>78.568796500037408</v>
      </c>
    </row>
    <row r="289" spans="3:23" x14ac:dyDescent="0.2">
      <c r="C289" s="90">
        <v>166</v>
      </c>
      <c r="D289" s="81">
        <f t="shared" si="41"/>
        <v>1043.0087609918114</v>
      </c>
      <c r="E289" s="82" t="str">
        <f t="shared" si="42"/>
        <v>1043.00876099181i</v>
      </c>
      <c r="F289" s="83" t="str">
        <f t="shared" si="25"/>
        <v>5.99477193245048+0.159995949577706i</v>
      </c>
      <c r="G289" s="84" t="str">
        <f t="shared" si="26"/>
        <v>-0.0000301365126126093-0.0000144727820438531i</v>
      </c>
      <c r="H289" s="84" t="str">
        <f t="shared" si="27"/>
        <v>0.0150952384676637-0.0314326466806917i</v>
      </c>
      <c r="I289" s="85">
        <f t="shared" si="44"/>
        <v>3.343158405667964E-2</v>
      </c>
      <c r="J289" s="70">
        <f t="shared" si="45"/>
        <v>0</v>
      </c>
      <c r="K289" s="84" t="str">
        <f t="shared" si="29"/>
        <v>0.00311980865255169-0.00607543670939825i</v>
      </c>
      <c r="L289" s="86">
        <f t="shared" si="43"/>
        <v>6.8296513262713675E-3</v>
      </c>
      <c r="M289" s="72">
        <f t="shared" si="30"/>
        <v>77.819617719389072</v>
      </c>
      <c r="N289" s="72">
        <f t="shared" si="31"/>
        <v>48.385475866210221</v>
      </c>
      <c r="O289" s="72">
        <f t="shared" si="32"/>
        <v>78.107843008046871</v>
      </c>
      <c r="P289" s="73">
        <f t="shared" si="33"/>
        <v>6.6417121659002856</v>
      </c>
      <c r="Q289" s="74">
        <f t="shared" si="34"/>
        <v>-21.893560328846082</v>
      </c>
      <c r="R289" s="87">
        <f t="shared" si="46"/>
        <v>0.76561626582364106</v>
      </c>
      <c r="S289" s="72">
        <f t="shared" si="47"/>
        <v>0.15640575500198675</v>
      </c>
      <c r="T289" s="88">
        <f t="shared" si="48"/>
        <v>105.01670165514383</v>
      </c>
      <c r="U289" s="88">
        <f t="shared" si="49"/>
        <v>75.58255980196499</v>
      </c>
      <c r="V289" s="89">
        <f t="shared" si="39"/>
        <v>105.30492694380163</v>
      </c>
      <c r="W289" s="125">
        <f t="shared" si="40"/>
        <v>78.963855130792808</v>
      </c>
    </row>
    <row r="290" spans="3:23" x14ac:dyDescent="0.2">
      <c r="C290" s="90">
        <v>169.8</v>
      </c>
      <c r="D290" s="81">
        <f t="shared" si="41"/>
        <v>1066.8848651590938</v>
      </c>
      <c r="E290" s="82" t="str">
        <f t="shared" si="42"/>
        <v>1066.88486515909i</v>
      </c>
      <c r="F290" s="83" t="str">
        <f t="shared" si="25"/>
        <v>5.9860280597854+0.155954170686867i</v>
      </c>
      <c r="G290" s="84" t="str">
        <f t="shared" si="26"/>
        <v>-0.0000289834056785659-0.000013561301793047i</v>
      </c>
      <c r="H290" s="84" t="str">
        <f t="shared" si="27"/>
        <v>0.0144683476348567-0.030921956859228i</v>
      </c>
      <c r="I290" s="85">
        <f t="shared" si="44"/>
        <v>3.1999167349329977E-2</v>
      </c>
      <c r="J290" s="70">
        <f t="shared" si="45"/>
        <v>0</v>
      </c>
      <c r="K290" s="84" t="str">
        <f t="shared" si="29"/>
        <v>0.00285402311987219-0.00570750359806617i</v>
      </c>
      <c r="L290" s="86">
        <f t="shared" si="43"/>
        <v>6.3813043565327044E-3</v>
      </c>
      <c r="M290" s="72">
        <f t="shared" si="30"/>
        <v>77.832436091038232</v>
      </c>
      <c r="N290" s="72">
        <f t="shared" si="31"/>
        <v>47.992286354891291</v>
      </c>
      <c r="O290" s="72">
        <f t="shared" si="32"/>
        <v>78.107709378861699</v>
      </c>
      <c r="P290" s="73">
        <f t="shared" si="33"/>
        <v>6.6107971064921323</v>
      </c>
      <c r="Q290" s="74">
        <f t="shared" si="34"/>
        <v>-21.414830135831998</v>
      </c>
      <c r="R290" s="87">
        <f t="shared" si="46"/>
        <v>0.73281250968916833</v>
      </c>
      <c r="S290" s="72">
        <f t="shared" si="47"/>
        <v>0.14613816695761836</v>
      </c>
      <c r="T290" s="88">
        <f t="shared" si="48"/>
        <v>105.02952002679299</v>
      </c>
      <c r="U290" s="88">
        <f t="shared" si="49"/>
        <v>75.189370290646053</v>
      </c>
      <c r="V290" s="89">
        <f t="shared" si="39"/>
        <v>105.30479331461646</v>
      </c>
      <c r="W290" s="125">
        <f t="shared" si="40"/>
        <v>79.333125618623612</v>
      </c>
    </row>
    <row r="291" spans="3:23" x14ac:dyDescent="0.2">
      <c r="C291" s="90">
        <v>173.8</v>
      </c>
      <c r="D291" s="81">
        <f t="shared" si="41"/>
        <v>1092.0176063878121</v>
      </c>
      <c r="E291" s="82" t="str">
        <f t="shared" si="42"/>
        <v>1092.01760638781i</v>
      </c>
      <c r="F291" s="83" t="str">
        <f t="shared" si="25"/>
        <v>5.97746079987193+0.151924094940674i</v>
      </c>
      <c r="G291" s="84" t="str">
        <f t="shared" si="26"/>
        <v>-0.0000278345997530356-0.0000126817774045885i</v>
      </c>
      <c r="H291" s="84" t="str">
        <f t="shared" si="27"/>
        <v>0.0138487242061017-0.0303958729970727i</v>
      </c>
      <c r="I291" s="85">
        <f t="shared" si="44"/>
        <v>3.0587455297085783E-2</v>
      </c>
      <c r="J291" s="70">
        <f t="shared" si="45"/>
        <v>0</v>
      </c>
      <c r="K291" s="84" t="str">
        <f t="shared" si="29"/>
        <v>0.00260402299670867-0.00535076513432611i</v>
      </c>
      <c r="L291" s="86">
        <f t="shared" si="43"/>
        <v>5.9507666136479854E-3</v>
      </c>
      <c r="M291" s="72">
        <f t="shared" si="30"/>
        <v>77.845012938477296</v>
      </c>
      <c r="N291" s="72">
        <f t="shared" si="31"/>
        <v>47.587797258196908</v>
      </c>
      <c r="O291" s="72">
        <f t="shared" si="32"/>
        <v>78.107577925129434</v>
      </c>
      <c r="P291" s="73">
        <f t="shared" si="33"/>
        <v>6.5806658992762159</v>
      </c>
      <c r="Q291" s="74">
        <f t="shared" si="34"/>
        <v>-20.932635543749264</v>
      </c>
      <c r="R291" s="87">
        <f t="shared" si="46"/>
        <v>0.70048291058835999</v>
      </c>
      <c r="S291" s="72">
        <f t="shared" si="47"/>
        <v>0.13627842778269053</v>
      </c>
      <c r="T291" s="88">
        <f t="shared" si="48"/>
        <v>105.04209687423207</v>
      </c>
      <c r="U291" s="88">
        <f t="shared" si="49"/>
        <v>74.784881193951676</v>
      </c>
      <c r="V291" s="89">
        <f t="shared" si="39"/>
        <v>105.30466186088421</v>
      </c>
      <c r="W291" s="125">
        <f t="shared" si="40"/>
        <v>79.696371965374681</v>
      </c>
    </row>
    <row r="292" spans="3:23" x14ac:dyDescent="0.2">
      <c r="C292" s="90">
        <v>177.8</v>
      </c>
      <c r="D292" s="81">
        <f t="shared" si="41"/>
        <v>1117.1503476165306</v>
      </c>
      <c r="E292" s="82" t="str">
        <f t="shared" si="42"/>
        <v>1117.15034761653i</v>
      </c>
      <c r="F292" s="83" t="str">
        <f t="shared" si="25"/>
        <v>5.96948682241092+0.148105774610135i</v>
      </c>
      <c r="G292" s="84" t="str">
        <f t="shared" si="26"/>
        <v>-0.0000267482683024446-0.0000118759044999662i</v>
      </c>
      <c r="H292" s="84" t="str">
        <f t="shared" si="27"/>
        <v>0.013267170840398-0.0298818372322162i</v>
      </c>
      <c r="I292" s="85">
        <f t="shared" si="44"/>
        <v>2.9266140245544515E-2</v>
      </c>
      <c r="J292" s="70">
        <f t="shared" si="45"/>
        <v>0</v>
      </c>
      <c r="K292" s="84" t="str">
        <f t="shared" si="29"/>
        <v>0.00238072526028134-0.00502241684314491i</v>
      </c>
      <c r="L292" s="86">
        <f t="shared" si="43"/>
        <v>5.5581043271287506E-3</v>
      </c>
      <c r="M292" s="72">
        <f t="shared" si="30"/>
        <v>77.856734355130897</v>
      </c>
      <c r="N292" s="72">
        <f t="shared" si="31"/>
        <v>47.19251248014757</v>
      </c>
      <c r="O292" s="72">
        <f t="shared" si="32"/>
        <v>78.107455114339203</v>
      </c>
      <c r="P292" s="73">
        <f t="shared" si="33"/>
        <v>6.5527620590740909</v>
      </c>
      <c r="Q292" s="74">
        <f t="shared" si="34"/>
        <v>-20.471341792999809</v>
      </c>
      <c r="R292" s="87">
        <f t="shared" si="46"/>
        <v>0.67022349200913545</v>
      </c>
      <c r="S292" s="72">
        <f t="shared" si="47"/>
        <v>0.12728607393475602</v>
      </c>
      <c r="T292" s="88">
        <f t="shared" si="48"/>
        <v>105.05381829088566</v>
      </c>
      <c r="U292" s="88">
        <f t="shared" si="49"/>
        <v>74.389596415902332</v>
      </c>
      <c r="V292" s="89">
        <f t="shared" si="39"/>
        <v>105.30453905009398</v>
      </c>
      <c r="W292" s="125">
        <f t="shared" si="40"/>
        <v>80.035745623072387</v>
      </c>
    </row>
    <row r="293" spans="3:23" x14ac:dyDescent="0.2">
      <c r="C293" s="90">
        <v>182</v>
      </c>
      <c r="D293" s="81">
        <f t="shared" si="41"/>
        <v>1143.5397259066847</v>
      </c>
      <c r="E293" s="82" t="str">
        <f t="shared" si="42"/>
        <v>1143.53972590668i</v>
      </c>
      <c r="F293" s="83" t="str">
        <f t="shared" si="25"/>
        <v>5.96169368719287+0.14430614064084i</v>
      </c>
      <c r="G293" s="84" t="str">
        <f t="shared" si="26"/>
        <v>-0.0000256704885353063-0.000011100848931522i</v>
      </c>
      <c r="H293" s="84" t="str">
        <f t="shared" si="27"/>
        <v>0.0126942617444841-0.0293552234235547i</v>
      </c>
      <c r="I293" s="85">
        <f t="shared" si="44"/>
        <v>2.7967889241803094E-2</v>
      </c>
      <c r="J293" s="70">
        <f t="shared" si="45"/>
        <v>0</v>
      </c>
      <c r="K293" s="84" t="str">
        <f t="shared" si="29"/>
        <v>0.00217135295239135-0.0047052738565614i</v>
      </c>
      <c r="L293" s="86">
        <f t="shared" si="43"/>
        <v>5.1821207733030328E-3</v>
      </c>
      <c r="M293" s="72">
        <f t="shared" si="30"/>
        <v>77.868204441778872</v>
      </c>
      <c r="N293" s="72">
        <f t="shared" si="31"/>
        <v>46.786921826980283</v>
      </c>
      <c r="O293" s="72">
        <f t="shared" si="32"/>
        <v>78.107334664736953</v>
      </c>
      <c r="P293" s="73">
        <f t="shared" si="33"/>
        <v>6.5256213169004935</v>
      </c>
      <c r="Q293" s="74">
        <f t="shared" si="34"/>
        <v>-20.008056090438373</v>
      </c>
      <c r="R293" s="87">
        <f t="shared" si="46"/>
        <v>0.6404922628845704</v>
      </c>
      <c r="S293" s="72">
        <f t="shared" si="47"/>
        <v>0.11867567952439502</v>
      </c>
      <c r="T293" s="88">
        <f t="shared" si="48"/>
        <v>105.06528837753365</v>
      </c>
      <c r="U293" s="88">
        <f t="shared" si="49"/>
        <v>73.984005762735052</v>
      </c>
      <c r="V293" s="89">
        <f t="shared" si="39"/>
        <v>105.30441860049172</v>
      </c>
      <c r="W293" s="125">
        <f t="shared" si="40"/>
        <v>80.368622667439254</v>
      </c>
    </row>
    <row r="294" spans="3:23" x14ac:dyDescent="0.2">
      <c r="C294" s="90">
        <v>186.2</v>
      </c>
      <c r="D294" s="81">
        <f t="shared" si="41"/>
        <v>1169.9291041968388</v>
      </c>
      <c r="E294" s="82" t="str">
        <f t="shared" si="42"/>
        <v>1169.92910419684i</v>
      </c>
      <c r="F294" s="83" t="str">
        <f t="shared" si="25"/>
        <v>5.95443985312532+0.140704207667831i</v>
      </c>
      <c r="G294" s="84" t="str">
        <f t="shared" si="26"/>
        <v>-0.0000246528576233592-0.000010391168679579i</v>
      </c>
      <c r="H294" s="84" t="str">
        <f t="shared" si="27"/>
        <v>0.0121569306648581-0.0288420956351889i</v>
      </c>
      <c r="I294" s="85">
        <f t="shared" si="44"/>
        <v>2.6753313356014118E-2</v>
      </c>
      <c r="J294" s="70">
        <f t="shared" si="45"/>
        <v>0</v>
      </c>
      <c r="K294" s="84" t="str">
        <f t="shared" si="29"/>
        <v>0.00198443760710008-0.0044137078491318i</v>
      </c>
      <c r="L294" s="86">
        <f t="shared" si="43"/>
        <v>4.8392984609301323E-3</v>
      </c>
      <c r="M294" s="72">
        <f t="shared" si="30"/>
        <v>77.87889369443127</v>
      </c>
      <c r="N294" s="72">
        <f t="shared" si="31"/>
        <v>46.390585149409851</v>
      </c>
      <c r="O294" s="72">
        <f t="shared" si="32"/>
        <v>78.107222177581065</v>
      </c>
      <c r="P294" s="73">
        <f t="shared" si="33"/>
        <v>6.5004737460197353</v>
      </c>
      <c r="Q294" s="74">
        <f t="shared" si="34"/>
        <v>-19.564995859344538</v>
      </c>
      <c r="R294" s="87">
        <f t="shared" si="46"/>
        <v>0.61267727653332082</v>
      </c>
      <c r="S294" s="72">
        <f t="shared" si="47"/>
        <v>0.11082471026744997</v>
      </c>
      <c r="T294" s="88">
        <f t="shared" si="48"/>
        <v>105.07597763018603</v>
      </c>
      <c r="U294" s="88">
        <f t="shared" si="49"/>
        <v>73.58766908516462</v>
      </c>
      <c r="V294" s="89">
        <f t="shared" si="39"/>
        <v>105.30430611333583</v>
      </c>
      <c r="W294" s="125">
        <f t="shared" si="40"/>
        <v>80.679534720019447</v>
      </c>
    </row>
    <row r="295" spans="3:23" x14ac:dyDescent="0.2">
      <c r="C295" s="90">
        <v>190.5</v>
      </c>
      <c r="D295" s="81">
        <f t="shared" si="41"/>
        <v>1196.9468010177111</v>
      </c>
      <c r="E295" s="82" t="str">
        <f t="shared" si="42"/>
        <v>1196.94680101771i</v>
      </c>
      <c r="F295" s="83" t="str">
        <f t="shared" ref="F295:F317" si="50">IMPRODUCT(IMDIV(COMPLEX(0,Sd*Dbl/Sp*D295),COMPLEX(Kbp,Dbl*D295)),IMSUM(IMDIV(IMPRODUCT(COMPLEX(Kbp,0),IMSUB(COMPLEX(1,0),IMDIV(COMPLEX(Kbp,0),COMPLEX(Kbp,Dbl*D295)))),IMSUB(Mp*D295^2,IMPRODUCT(COMPLEX(Kbp,0),IMSUB(COMPLEX(1,0),IMDIV(COMPLEX(Kbp,0),COMPLEX(Kbp,Dbl*D295)))))),COMPLEX(1,0)))</f>
        <v>5.94752089043127+0.137205190246364i</v>
      </c>
      <c r="G295" s="84" t="str">
        <f t="shared" ref="G295:G317" si="51">IMDIV(COMPLEX(Bl,0),IMPRODUCT(COMPLEX(Re,Le*D295),IMSUM(COMPLEX(Kd-Md*D295^2,0),IMPRODUCT(E295,IMSUM(COMPLEX(Dd,0),IMDIV(COMPLEX(Bl^2,0),COMPLEX(Re,Le*D295)))),IMPRODUCT(COMPLEX(Sd*Kbp/Sp,0),F295))))</f>
        <v>-0.0000236691083313025-0.0000097253469983825i</v>
      </c>
      <c r="H295" s="84" t="str">
        <f t="shared" ref="H295:H317" si="52">IMPRODUCT(E295,G295)</f>
        <v>0.0116407229785011-0.0283306635000942i</v>
      </c>
      <c r="I295" s="85">
        <f t="shared" si="44"/>
        <v>2.5589237257837148E-2</v>
      </c>
      <c r="J295" s="70">
        <f t="shared" ref="J295:J358" si="53">IF(AND(I296&gt;I295,I296&gt;I297),I296,0)</f>
        <v>0</v>
      </c>
      <c r="K295" s="84" t="str">
        <f t="shared" ref="K295:K317" si="54">IMPRODUCT(E295,IMPRODUCT(IMDIV(COMPLEX(0,Sd*Kbp*Dbl/Sp*D295),IMPRODUCT(COMPLEX(Kbp,Dbl*D295),IMSUB(COMPLEX(Mp*D295^2,0),IMPRODUCT(COMPLEX(Kbp,0),IMSUB(COMPLEX(1,0),IMDIV(COMPLEX(Kbp,0),COMPLEX(Kbp,Dbl*D295))))))),G295))</f>
        <v>0.00181339344459532-0.00413912940407263i</v>
      </c>
      <c r="L295" s="86">
        <f t="shared" si="43"/>
        <v>4.5189366015203096E-3</v>
      </c>
      <c r="M295" s="72">
        <f t="shared" ref="M295:M317" si="55">79.6+20*LOG10(IMABS(IMPRODUCT(COMPLEX(Sd*D295,0),H295)))</f>
        <v>77.88910112148416</v>
      </c>
      <c r="N295" s="72">
        <f t="shared" ref="N295:N317" si="56">79.6+20*LOG10(IMABS(IMPRODUCT(COMPLEX(Sp*D295,0),K295)))</f>
        <v>45.993968029507613</v>
      </c>
      <c r="O295" s="72">
        <f t="shared" ref="O295:O358" si="57">79.6+20*LOG10(IMABS(IMSUM(IMPRODUCT(COMPLEX(Sd*D295,0),H295),IMPRODUCT(COMPLEX(Sp*D295,0),K295))))</f>
        <v>78.107114551391547</v>
      </c>
      <c r="P295" s="73">
        <f t="shared" ref="P295:P358" si="58">IMABS(IMDIV(COMPLEX(Re,D295*Le),IMSUB(COMPLEX(1,0),IMPRODUCT(COMPLEX(Bl,0),H295))))</f>
        <v>6.476589775613478</v>
      </c>
      <c r="Q295" s="74">
        <f t="shared" ref="Q295:Q358" si="59">180/PI()*IMARGUMENT(IMDIV(COMPLEX(Re,D295*Le),IMSUB(COMPLEX(1,0),IMPRODUCT(COMPLEX(Bl,0),H295))))</f>
        <v>-19.131012312044263</v>
      </c>
      <c r="R295" s="87">
        <f t="shared" ref="R295:R317" si="60">MaxV*I295</f>
        <v>0.58601878515254113</v>
      </c>
      <c r="S295" s="72">
        <f t="shared" ref="S295:S317" si="61">MaxV*L295</f>
        <v>0.10348810754776339</v>
      </c>
      <c r="T295" s="88">
        <f t="shared" ref="T295:T326" si="62">20*LOG10(MaxV)+M295</f>
        <v>105.08618505723894</v>
      </c>
      <c r="U295" s="88">
        <f t="shared" ref="U295:U326" si="63">20*LOG10(MaxV)+N295</f>
        <v>73.191051965262375</v>
      </c>
      <c r="V295" s="89">
        <f t="shared" ref="V295:V358" si="64">20*LOG10(MaxV)+O295</f>
        <v>105.30419848714632</v>
      </c>
      <c r="W295" s="125">
        <f t="shared" ref="W295:W358" si="65">IMABS(IMDIV(COMPLEX($E$56^2,0),IMDIV(COMPLEX(Re,D295*Le),IMSUB(COMPLEX(1,0),IMPRODUCT(COMPLEX(Bl,0),H295)))))</f>
        <v>80.977059758103422</v>
      </c>
    </row>
    <row r="296" spans="3:23" x14ac:dyDescent="0.2">
      <c r="C296" s="90">
        <v>195</v>
      </c>
      <c r="D296" s="81">
        <f t="shared" ref="D296:D317" si="66">2*PI()*C296</f>
        <v>1225.2211349000193</v>
      </c>
      <c r="E296" s="82" t="str">
        <f t="shared" ref="E296:E317" si="67">COMPLEX(0,2*PI()*C296)</f>
        <v>1225.22113490002i</v>
      </c>
      <c r="F296" s="83" t="str">
        <f t="shared" si="50"/>
        <v>5.94077982022893+0.13373184010905i</v>
      </c>
      <c r="G296" s="84" t="str">
        <f t="shared" si="51"/>
        <v>-0.0000226982381676739-9.08758816710759E-06i</v>
      </c>
      <c r="H296" s="84" t="str">
        <f t="shared" si="52"/>
        <v>0.0111343050876076-0.0278103611280284i</v>
      </c>
      <c r="I296" s="85">
        <f t="shared" si="44"/>
        <v>2.44498317910656E-2</v>
      </c>
      <c r="J296" s="70">
        <f t="shared" si="53"/>
        <v>0</v>
      </c>
      <c r="K296" s="84" t="str">
        <f t="shared" si="54"/>
        <v>0.00165362333123029-0.00387517683017679i</v>
      </c>
      <c r="L296" s="86">
        <f t="shared" ref="L296:L317" si="68">IMABS(K296)</f>
        <v>4.2132488161427395E-3</v>
      </c>
      <c r="M296" s="72">
        <f t="shared" si="55"/>
        <v>77.899057068085156</v>
      </c>
      <c r="N296" s="72">
        <f t="shared" si="56"/>
        <v>45.58837783638031</v>
      </c>
      <c r="O296" s="72">
        <f t="shared" si="57"/>
        <v>78.107009383226199</v>
      </c>
      <c r="P296" s="73">
        <f t="shared" si="58"/>
        <v>6.4534157368571483</v>
      </c>
      <c r="Q296" s="74">
        <f t="shared" si="59"/>
        <v>-18.696754716368641</v>
      </c>
      <c r="R296" s="87">
        <f t="shared" si="60"/>
        <v>0.55992527557639582</v>
      </c>
      <c r="S296" s="72">
        <f t="shared" si="61"/>
        <v>9.6487555604071906E-2</v>
      </c>
      <c r="T296" s="88">
        <f t="shared" si="62"/>
        <v>105.09614100383993</v>
      </c>
      <c r="U296" s="88">
        <f t="shared" si="63"/>
        <v>72.785461772135079</v>
      </c>
      <c r="V296" s="89">
        <f t="shared" si="64"/>
        <v>105.30409331898096</v>
      </c>
      <c r="W296" s="125">
        <f t="shared" si="65"/>
        <v>81.267846156768272</v>
      </c>
    </row>
    <row r="297" spans="3:23" x14ac:dyDescent="0.2">
      <c r="C297" s="90">
        <v>199.5</v>
      </c>
      <c r="D297" s="81">
        <f t="shared" si="66"/>
        <v>1253.4954687823274</v>
      </c>
      <c r="E297" s="82" t="str">
        <f t="shared" si="67"/>
        <v>1253.49546878233i</v>
      </c>
      <c r="F297" s="83" t="str">
        <f t="shared" si="50"/>
        <v>5.93450320777269+0.130436185953706i</v>
      </c>
      <c r="G297" s="84" t="str">
        <f t="shared" si="51"/>
        <v>-0.0000217831472068988-8.50395450442236E-06i</v>
      </c>
      <c r="H297" s="84" t="str">
        <f t="shared" si="52"/>
        <v>0.0106596684380245-0.0273050763196661i</v>
      </c>
      <c r="I297" s="85">
        <f t="shared" ref="I297:I317" si="69">1000*IMABS(G297)</f>
        <v>2.3384241370006179E-2</v>
      </c>
      <c r="J297" s="70">
        <f t="shared" si="53"/>
        <v>0</v>
      </c>
      <c r="K297" s="84" t="str">
        <f t="shared" si="54"/>
        <v>0.00151102734019022-0.00363280358444118i</v>
      </c>
      <c r="L297" s="86">
        <f t="shared" si="68"/>
        <v>3.9345222716272703E-3</v>
      </c>
      <c r="M297" s="72">
        <f t="shared" si="55"/>
        <v>77.908336804329309</v>
      </c>
      <c r="N297" s="72">
        <f t="shared" si="56"/>
        <v>45.192041621173587</v>
      </c>
      <c r="O297" s="72">
        <f t="shared" si="57"/>
        <v>78.106911188897399</v>
      </c>
      <c r="P297" s="73">
        <f t="shared" si="58"/>
        <v>6.4319229681785623</v>
      </c>
      <c r="Q297" s="74">
        <f t="shared" si="59"/>
        <v>-18.281561727033306</v>
      </c>
      <c r="R297" s="87">
        <f t="shared" si="60"/>
        <v>0.53552220338915524</v>
      </c>
      <c r="S297" s="72">
        <f t="shared" si="61"/>
        <v>9.0104442681989957E-2</v>
      </c>
      <c r="T297" s="88">
        <f t="shared" si="62"/>
        <v>105.10542074008407</v>
      </c>
      <c r="U297" s="88">
        <f t="shared" si="63"/>
        <v>72.389125556928349</v>
      </c>
      <c r="V297" s="89">
        <f t="shared" si="64"/>
        <v>105.30399512465218</v>
      </c>
      <c r="W297" s="125">
        <f t="shared" si="65"/>
        <v>81.539408957985827</v>
      </c>
    </row>
    <row r="298" spans="3:23" x14ac:dyDescent="0.2">
      <c r="C298" s="90">
        <v>204.2</v>
      </c>
      <c r="D298" s="81">
        <f t="shared" si="66"/>
        <v>1283.0264397260714</v>
      </c>
      <c r="E298" s="82" t="str">
        <f t="shared" si="67"/>
        <v>1283.02643972607i</v>
      </c>
      <c r="F298" s="83" t="str">
        <f t="shared" si="50"/>
        <v>5.92839808683797+0.127169003893256i</v>
      </c>
      <c r="G298" s="84" t="str">
        <f t="shared" si="51"/>
        <v>-0.0000208826888175657-7.94613657641262E-06i</v>
      </c>
      <c r="H298" s="84" t="str">
        <f t="shared" si="52"/>
        <v>0.0101951033212118-0.0267930418855087i</v>
      </c>
      <c r="I298" s="85">
        <f t="shared" si="69"/>
        <v>2.2343405710461558E-2</v>
      </c>
      <c r="J298" s="70">
        <f t="shared" si="53"/>
        <v>0</v>
      </c>
      <c r="K298" s="84" t="str">
        <f t="shared" si="54"/>
        <v>0.00137808969345013-0.00340040792257319i</v>
      </c>
      <c r="L298" s="86">
        <f t="shared" si="68"/>
        <v>3.6690469120865695E-3</v>
      </c>
      <c r="M298" s="72">
        <f t="shared" si="55"/>
        <v>77.917372040824787</v>
      </c>
      <c r="N298" s="72">
        <f t="shared" si="56"/>
        <v>44.787523508407041</v>
      </c>
      <c r="O298" s="72">
        <f t="shared" si="57"/>
        <v>78.10681542736782</v>
      </c>
      <c r="P298" s="73">
        <f t="shared" si="58"/>
        <v>6.4110952748438796</v>
      </c>
      <c r="Q298" s="74">
        <f t="shared" si="59"/>
        <v>-17.866959423879134</v>
      </c>
      <c r="R298" s="87">
        <f t="shared" si="60"/>
        <v>0.511686039669075</v>
      </c>
      <c r="S298" s="72">
        <f t="shared" si="61"/>
        <v>8.4024794972352643E-2</v>
      </c>
      <c r="T298" s="88">
        <f t="shared" si="62"/>
        <v>105.11445597657956</v>
      </c>
      <c r="U298" s="88">
        <f t="shared" si="63"/>
        <v>71.98460744416181</v>
      </c>
      <c r="V298" s="89">
        <f t="shared" si="64"/>
        <v>105.30389936312258</v>
      </c>
      <c r="W298" s="125">
        <f t="shared" si="65"/>
        <v>81.804305630342625</v>
      </c>
    </row>
    <row r="299" spans="3:23" x14ac:dyDescent="0.2">
      <c r="C299" s="90">
        <v>208.9</v>
      </c>
      <c r="D299" s="81">
        <f t="shared" si="66"/>
        <v>1312.5574106698157</v>
      </c>
      <c r="E299" s="82" t="str">
        <f t="shared" si="67"/>
        <v>1312.55741066982i</v>
      </c>
      <c r="F299" s="83" t="str">
        <f t="shared" si="50"/>
        <v>5.92271145544333+0.124066845313583i</v>
      </c>
      <c r="G299" s="84" t="str">
        <f t="shared" si="51"/>
        <v>-0.0000200346812019834-7.43571104224681E-06i</v>
      </c>
      <c r="H299" s="84" t="str">
        <f t="shared" si="52"/>
        <v>0.00975979763210046-0.0262966692820706i</v>
      </c>
      <c r="I299" s="85">
        <f t="shared" si="69"/>
        <v>2.1370031576226044E-2</v>
      </c>
      <c r="J299" s="70">
        <f t="shared" si="53"/>
        <v>0</v>
      </c>
      <c r="K299" s="84" t="str">
        <f t="shared" si="54"/>
        <v>0.00125942493080599-0.0031871118974067i</v>
      </c>
      <c r="L299" s="86">
        <f t="shared" si="68"/>
        <v>3.426927691522978E-3</v>
      </c>
      <c r="M299" s="72">
        <f t="shared" si="55"/>
        <v>77.925795977727716</v>
      </c>
      <c r="N299" s="72">
        <f t="shared" si="56"/>
        <v>44.392211077695755</v>
      </c>
      <c r="O299" s="72">
        <f t="shared" si="57"/>
        <v>78.106726009564923</v>
      </c>
      <c r="P299" s="73">
        <f t="shared" si="58"/>
        <v>6.3917639730903986</v>
      </c>
      <c r="Q299" s="74">
        <f t="shared" si="59"/>
        <v>-17.470568816325851</v>
      </c>
      <c r="R299" s="87">
        <f t="shared" si="60"/>
        <v>0.48939481145089503</v>
      </c>
      <c r="S299" s="72">
        <f t="shared" si="61"/>
        <v>7.8480025893575167E-2</v>
      </c>
      <c r="T299" s="88">
        <f t="shared" si="62"/>
        <v>105.12287991348248</v>
      </c>
      <c r="U299" s="88">
        <f t="shared" si="63"/>
        <v>71.589295013450524</v>
      </c>
      <c r="V299" s="89">
        <f t="shared" si="64"/>
        <v>105.3038099453197</v>
      </c>
      <c r="W299" s="125">
        <f t="shared" si="65"/>
        <v>82.051715222363129</v>
      </c>
    </row>
    <row r="300" spans="3:23" x14ac:dyDescent="0.2">
      <c r="C300" s="90">
        <v>213.8</v>
      </c>
      <c r="D300" s="81">
        <f t="shared" si="66"/>
        <v>1343.3450186749956</v>
      </c>
      <c r="E300" s="82" t="str">
        <f t="shared" si="67"/>
        <v>1343.345018675i</v>
      </c>
      <c r="F300" s="83" t="str">
        <f t="shared" si="50"/>
        <v>5.91718784945391+0.120994899742105i</v>
      </c>
      <c r="G300" s="84" t="str">
        <f t="shared" si="51"/>
        <v>-0.0000192023548360361-6.94875100051252E-06i</v>
      </c>
      <c r="H300" s="84" t="str">
        <f t="shared" si="52"/>
        <v>0.00933457004255141-0.0257953877158189i</v>
      </c>
      <c r="I300" s="85">
        <f t="shared" si="69"/>
        <v>2.0420959128213418E-2</v>
      </c>
      <c r="J300" s="70">
        <f t="shared" si="53"/>
        <v>0</v>
      </c>
      <c r="K300" s="84" t="str">
        <f t="shared" si="54"/>
        <v>0.00114897085452538-0.00298303948633628i</v>
      </c>
      <c r="L300" s="86">
        <f t="shared" si="68"/>
        <v>3.1966636672615717E-3</v>
      </c>
      <c r="M300" s="72">
        <f t="shared" si="55"/>
        <v>77.933985857937344</v>
      </c>
      <c r="N300" s="72">
        <f t="shared" si="56"/>
        <v>43.989436377172517</v>
      </c>
      <c r="O300" s="72">
        <f t="shared" si="57"/>
        <v>78.106638952777814</v>
      </c>
      <c r="P300" s="73">
        <f t="shared" si="58"/>
        <v>6.3730500114556783</v>
      </c>
      <c r="Q300" s="74">
        <f t="shared" si="59"/>
        <v>-17.075449872812964</v>
      </c>
      <c r="R300" s="87">
        <f t="shared" si="60"/>
        <v>0.4676601158285873</v>
      </c>
      <c r="S300" s="72">
        <f t="shared" si="61"/>
        <v>7.320675250905187E-2</v>
      </c>
      <c r="T300" s="88">
        <f t="shared" si="62"/>
        <v>105.13106979369212</v>
      </c>
      <c r="U300" s="88">
        <f t="shared" si="63"/>
        <v>71.186520312927286</v>
      </c>
      <c r="V300" s="89">
        <f t="shared" si="64"/>
        <v>105.30372288853258</v>
      </c>
      <c r="W300" s="125">
        <f t="shared" si="65"/>
        <v>82.292653650270424</v>
      </c>
    </row>
    <row r="301" spans="3:23" x14ac:dyDescent="0.2">
      <c r="C301" s="90">
        <v>218.8</v>
      </c>
      <c r="D301" s="81">
        <f t="shared" si="66"/>
        <v>1374.7609452108936</v>
      </c>
      <c r="E301" s="82" t="str">
        <f t="shared" si="67"/>
        <v>1374.76094521089i</v>
      </c>
      <c r="F301" s="83" t="str">
        <f t="shared" si="50"/>
        <v>5.91193904932864+0.118017962977112i</v>
      </c>
      <c r="G301" s="84" t="str">
        <f t="shared" si="51"/>
        <v>-0.0000184034995979414-6.49443313796929E-06i</v>
      </c>
      <c r="H301" s="84" t="str">
        <f t="shared" si="52"/>
        <v>0.00892829303936359-0.0253004125024542i</v>
      </c>
      <c r="I301" s="85">
        <f t="shared" si="69"/>
        <v>1.9515800245826019E-2</v>
      </c>
      <c r="J301" s="70">
        <f t="shared" si="53"/>
        <v>0</v>
      </c>
      <c r="K301" s="84" t="str">
        <f t="shared" si="54"/>
        <v>0.00104844115376615-0.00279212686433253i</v>
      </c>
      <c r="L301" s="86">
        <f t="shared" si="68"/>
        <v>2.9824824022008749E-3</v>
      </c>
      <c r="M301" s="72">
        <f t="shared" si="55"/>
        <v>77.941775092210477</v>
      </c>
      <c r="N301" s="72">
        <f t="shared" si="56"/>
        <v>43.587847610717446</v>
      </c>
      <c r="O301" s="72">
        <f t="shared" si="57"/>
        <v>78.1065560432653</v>
      </c>
      <c r="P301" s="73">
        <f t="shared" si="58"/>
        <v>6.3553244925957388</v>
      </c>
      <c r="Q301" s="74">
        <f t="shared" si="59"/>
        <v>-16.690123555988546</v>
      </c>
      <c r="R301" s="87">
        <f t="shared" si="60"/>
        <v>0.44693108419384253</v>
      </c>
      <c r="S301" s="72">
        <f t="shared" si="61"/>
        <v>6.8301790180998773E-2</v>
      </c>
      <c r="T301" s="88">
        <f t="shared" si="62"/>
        <v>105.13885902796525</v>
      </c>
      <c r="U301" s="88">
        <f t="shared" si="63"/>
        <v>70.784931546472222</v>
      </c>
      <c r="V301" s="89">
        <f t="shared" si="64"/>
        <v>105.30363997902006</v>
      </c>
      <c r="W301" s="125">
        <f t="shared" si="65"/>
        <v>82.522174579691324</v>
      </c>
    </row>
    <row r="302" spans="3:23" x14ac:dyDescent="0.2">
      <c r="C302" s="90">
        <v>223.9</v>
      </c>
      <c r="D302" s="81">
        <f t="shared" si="66"/>
        <v>1406.8051902775094</v>
      </c>
      <c r="E302" s="82" t="str">
        <f t="shared" si="67"/>
        <v>1406.80519027751i</v>
      </c>
      <c r="F302" s="83" t="str">
        <f t="shared" si="50"/>
        <v>5.90695186813085+0.115133108501802i</v>
      </c>
      <c r="G302" s="84" t="str">
        <f t="shared" si="51"/>
        <v>-0.0000176372447270743-6.07068056349801E-06i</v>
      </c>
      <c r="H302" s="84" t="str">
        <f t="shared" si="52"/>
        <v>0.0085402649252458-0.0248121674242428i</v>
      </c>
      <c r="I302" s="85">
        <f t="shared" si="69"/>
        <v>1.865276290705328E-2</v>
      </c>
      <c r="J302" s="70">
        <f t="shared" si="53"/>
        <v>0</v>
      </c>
      <c r="K302" s="84" t="str">
        <f t="shared" si="54"/>
        <v>0.000956954205511098-0.00261359959840707i</v>
      </c>
      <c r="L302" s="86">
        <f t="shared" si="68"/>
        <v>2.7832829917633192E-3</v>
      </c>
      <c r="M302" s="72">
        <f t="shared" si="55"/>
        <v>77.949182244184072</v>
      </c>
      <c r="N302" s="72">
        <f t="shared" si="56"/>
        <v>43.187572646160156</v>
      </c>
      <c r="O302" s="72">
        <f t="shared" si="57"/>
        <v>78.106477100990048</v>
      </c>
      <c r="P302" s="73">
        <f t="shared" si="58"/>
        <v>6.3385340773958898</v>
      </c>
      <c r="Q302" s="74">
        <f t="shared" si="59"/>
        <v>-16.314465729072918</v>
      </c>
      <c r="R302" s="87">
        <f t="shared" si="60"/>
        <v>0.42716667747421722</v>
      </c>
      <c r="S302" s="72">
        <f t="shared" si="61"/>
        <v>6.3739927108195898E-2</v>
      </c>
      <c r="T302" s="88">
        <f t="shared" si="62"/>
        <v>105.14626617993883</v>
      </c>
      <c r="U302" s="88">
        <f t="shared" si="63"/>
        <v>70.384656581914925</v>
      </c>
      <c r="V302" s="89">
        <f t="shared" si="64"/>
        <v>105.30356103674481</v>
      </c>
      <c r="W302" s="125">
        <f t="shared" si="65"/>
        <v>82.740771112812268</v>
      </c>
    </row>
    <row r="303" spans="3:23" x14ac:dyDescent="0.2">
      <c r="C303" s="90">
        <v>229.1</v>
      </c>
      <c r="D303" s="81">
        <f t="shared" si="66"/>
        <v>1439.4777538748431</v>
      </c>
      <c r="E303" s="82" t="str">
        <f t="shared" si="67"/>
        <v>1439.47775387484i</v>
      </c>
      <c r="F303" s="83" t="str">
        <f t="shared" si="50"/>
        <v>5.90221357174299+0.112337447384016i</v>
      </c>
      <c r="G303" s="84" t="str">
        <f t="shared" si="51"/>
        <v>-0.0000169026707875374-5.67552045420718E-06i</v>
      </c>
      <c r="H303" s="84" t="str">
        <f t="shared" si="52"/>
        <v>0.00816978543549286-0.0243310185797302i</v>
      </c>
      <c r="I303" s="85">
        <f t="shared" si="69"/>
        <v>1.7830081664927791E-2</v>
      </c>
      <c r="J303" s="70">
        <f t="shared" si="53"/>
        <v>0</v>
      </c>
      <c r="K303" s="84" t="str">
        <f t="shared" si="54"/>
        <v>0.000873701272673737-0.00244671348307706i</v>
      </c>
      <c r="L303" s="86">
        <f t="shared" si="68"/>
        <v>2.5980301734473345E-3</v>
      </c>
      <c r="M303" s="72">
        <f t="shared" si="55"/>
        <v>77.956225315092823</v>
      </c>
      <c r="N303" s="72">
        <f t="shared" si="56"/>
        <v>42.788729057382483</v>
      </c>
      <c r="O303" s="72">
        <f t="shared" si="57"/>
        <v>78.106401949747351</v>
      </c>
      <c r="P303" s="73">
        <f t="shared" si="58"/>
        <v>6.3226279757674746</v>
      </c>
      <c r="Q303" s="74">
        <f t="shared" si="59"/>
        <v>-15.94833706658688</v>
      </c>
      <c r="R303" s="87">
        <f t="shared" si="60"/>
        <v>0.4083264651919809</v>
      </c>
      <c r="S303" s="72">
        <f t="shared" si="61"/>
        <v>5.9497454757740473E-2</v>
      </c>
      <c r="T303" s="88">
        <f t="shared" si="62"/>
        <v>105.1533092508476</v>
      </c>
      <c r="U303" s="88">
        <f t="shared" si="63"/>
        <v>69.985812993137245</v>
      </c>
      <c r="V303" s="89">
        <f t="shared" si="64"/>
        <v>105.30348588550211</v>
      </c>
      <c r="W303" s="125">
        <f t="shared" si="65"/>
        <v>82.948925557321431</v>
      </c>
    </row>
    <row r="304" spans="3:23" x14ac:dyDescent="0.2">
      <c r="C304" s="90">
        <v>234.4</v>
      </c>
      <c r="D304" s="81">
        <f t="shared" si="66"/>
        <v>1472.7786360028952</v>
      </c>
      <c r="E304" s="82" t="str">
        <f t="shared" si="67"/>
        <v>1472.7786360029i</v>
      </c>
      <c r="F304" s="83" t="str">
        <f t="shared" si="50"/>
        <v>5.8977118942839+0.109628136795038i</v>
      </c>
      <c r="G304" s="84" t="str">
        <f t="shared" si="51"/>
        <v>-0.0000161988216180052-5.30708389530839E-06i</v>
      </c>
      <c r="H304" s="84" t="str">
        <f t="shared" si="52"/>
        <v>0.00781615978048525-0.02385727840742i</v>
      </c>
      <c r="I304" s="85">
        <f t="shared" si="69"/>
        <v>1.704602479417985E-2</v>
      </c>
      <c r="J304" s="70">
        <f t="shared" si="53"/>
        <v>0</v>
      </c>
      <c r="K304" s="84" t="str">
        <f t="shared" si="54"/>
        <v>0.000797941711923285-0.00229075606653016i</v>
      </c>
      <c r="L304" s="86">
        <f t="shared" si="68"/>
        <v>2.4257523228829016E-3</v>
      </c>
      <c r="M304" s="72">
        <f t="shared" si="55"/>
        <v>77.962921710992703</v>
      </c>
      <c r="N304" s="72">
        <f t="shared" si="56"/>
        <v>42.391424726122764</v>
      </c>
      <c r="O304" s="72">
        <f t="shared" si="57"/>
        <v>78.106330417759068</v>
      </c>
      <c r="P304" s="73">
        <f t="shared" si="58"/>
        <v>6.3075578958112217</v>
      </c>
      <c r="Q304" s="74">
        <f t="shared" si="59"/>
        <v>-15.591585328063724</v>
      </c>
      <c r="R304" s="87">
        <f t="shared" si="60"/>
        <v>0.39037078912955786</v>
      </c>
      <c r="S304" s="72">
        <f t="shared" si="61"/>
        <v>5.5552121972741585E-2</v>
      </c>
      <c r="T304" s="88">
        <f t="shared" si="62"/>
        <v>105.16000564674746</v>
      </c>
      <c r="U304" s="88">
        <f t="shared" si="63"/>
        <v>69.58850866187754</v>
      </c>
      <c r="V304" s="89">
        <f t="shared" si="64"/>
        <v>105.30341435351383</v>
      </c>
      <c r="W304" s="125">
        <f t="shared" si="65"/>
        <v>83.147107953913334</v>
      </c>
    </row>
    <row r="305" spans="3:23" x14ac:dyDescent="0.2">
      <c r="C305" s="90">
        <v>239.9</v>
      </c>
      <c r="D305" s="81">
        <f t="shared" si="66"/>
        <v>1507.3361551923829</v>
      </c>
      <c r="E305" s="82" t="str">
        <f t="shared" si="67"/>
        <v>1507.33615519238i</v>
      </c>
      <c r="F305" s="83" t="str">
        <f t="shared" si="50"/>
        <v>5.89335861459577+0.106954979429291i</v>
      </c>
      <c r="G305" s="84" t="str">
        <f t="shared" si="51"/>
        <v>-0.0000155126196494687-4.95752587546229E-06i</v>
      </c>
      <c r="H305" s="84" t="str">
        <f t="shared" si="52"/>
        <v>0.00747265799238607-0.0233827324593919i</v>
      </c>
      <c r="I305" s="85">
        <f t="shared" si="69"/>
        <v>1.6285528274973475E-2</v>
      </c>
      <c r="J305" s="70">
        <f t="shared" si="53"/>
        <v>0</v>
      </c>
      <c r="K305" s="84" t="str">
        <f t="shared" si="54"/>
        <v>0.000727793133902642-0.0021424661069429i</v>
      </c>
      <c r="L305" s="86">
        <f t="shared" si="68"/>
        <v>2.2627071982814955E-3</v>
      </c>
      <c r="M305" s="72">
        <f t="shared" si="55"/>
        <v>77.969402037867553</v>
      </c>
      <c r="N305" s="72">
        <f t="shared" si="56"/>
        <v>41.988515589213094</v>
      </c>
      <c r="O305" s="72">
        <f t="shared" si="57"/>
        <v>78.106261120403062</v>
      </c>
      <c r="P305" s="73">
        <f t="shared" si="58"/>
        <v>6.2930231116479902</v>
      </c>
      <c r="Q305" s="74">
        <f t="shared" si="59"/>
        <v>-15.237756650098275</v>
      </c>
      <c r="R305" s="87">
        <f t="shared" si="60"/>
        <v>0.3729546683672415</v>
      </c>
      <c r="S305" s="72">
        <f t="shared" si="61"/>
        <v>5.1818227723326331E-2</v>
      </c>
      <c r="T305" s="88">
        <f t="shared" si="62"/>
        <v>105.16648597362231</v>
      </c>
      <c r="U305" s="88">
        <f t="shared" si="63"/>
        <v>69.18559952496787</v>
      </c>
      <c r="V305" s="89">
        <f t="shared" si="64"/>
        <v>105.30334505615784</v>
      </c>
      <c r="W305" s="125">
        <f t="shared" si="65"/>
        <v>83.339150037100652</v>
      </c>
    </row>
    <row r="306" spans="3:23" x14ac:dyDescent="0.2">
      <c r="C306" s="90">
        <v>245.5</v>
      </c>
      <c r="D306" s="81">
        <f t="shared" si="66"/>
        <v>1542.5219929125885</v>
      </c>
      <c r="E306" s="82" t="str">
        <f t="shared" si="67"/>
        <v>1542.52199291259i</v>
      </c>
      <c r="F306" s="83" t="str">
        <f t="shared" si="50"/>
        <v>5.88922919111478+0.104367261844251i</v>
      </c>
      <c r="G306" s="84" t="str">
        <f t="shared" si="51"/>
        <v>-0.000014856626501588-4.63229722216441E-06i</v>
      </c>
      <c r="H306" s="84" t="str">
        <f t="shared" si="52"/>
        <v>0.0071454203428965-0.0229166731191875i</v>
      </c>
      <c r="I306" s="85">
        <f t="shared" si="69"/>
        <v>1.5562054124123814E-2</v>
      </c>
      <c r="J306" s="70">
        <f t="shared" si="53"/>
        <v>0</v>
      </c>
      <c r="K306" s="84" t="str">
        <f t="shared" si="54"/>
        <v>0.000664100308878435-0.00200420959107944i</v>
      </c>
      <c r="L306" s="86">
        <f t="shared" si="68"/>
        <v>2.1113704803343374E-3</v>
      </c>
      <c r="M306" s="72">
        <f t="shared" si="55"/>
        <v>77.975553388138934</v>
      </c>
      <c r="N306" s="72">
        <f t="shared" si="56"/>
        <v>41.58766229513207</v>
      </c>
      <c r="O306" s="72">
        <f t="shared" si="57"/>
        <v>78.106195274663108</v>
      </c>
      <c r="P306" s="73">
        <f t="shared" si="58"/>
        <v>6.2792706120504747</v>
      </c>
      <c r="Q306" s="74">
        <f t="shared" si="59"/>
        <v>-14.893523644718448</v>
      </c>
      <c r="R306" s="87">
        <f t="shared" si="60"/>
        <v>0.35638639637467417</v>
      </c>
      <c r="S306" s="72">
        <f t="shared" si="61"/>
        <v>4.8352467540372666E-2</v>
      </c>
      <c r="T306" s="88">
        <f t="shared" si="62"/>
        <v>105.1726373238937</v>
      </c>
      <c r="U306" s="88">
        <f t="shared" si="63"/>
        <v>68.784746230886839</v>
      </c>
      <c r="V306" s="89">
        <f t="shared" si="64"/>
        <v>105.30327921041788</v>
      </c>
      <c r="W306" s="125">
        <f t="shared" si="65"/>
        <v>83.521674680192646</v>
      </c>
    </row>
    <row r="307" spans="3:23" x14ac:dyDescent="0.2">
      <c r="C307" s="90">
        <v>251.2</v>
      </c>
      <c r="D307" s="81">
        <f t="shared" si="66"/>
        <v>1578.3361491635119</v>
      </c>
      <c r="E307" s="82" t="str">
        <f t="shared" si="67"/>
        <v>1578.33614916351i</v>
      </c>
      <c r="F307" s="83" t="str">
        <f t="shared" si="50"/>
        <v>5.88531166870283+0.101861924591513i</v>
      </c>
      <c r="G307" s="84" t="str">
        <f t="shared" si="51"/>
        <v>-0.0000142297008543124-4.32969239465409E-06i</v>
      </c>
      <c r="H307" s="84" t="str">
        <f t="shared" si="52"/>
        <v>0.00683371002124087-0.0224592512501441i</v>
      </c>
      <c r="I307" s="85">
        <f t="shared" si="69"/>
        <v>1.4873823403400502E-2</v>
      </c>
      <c r="J307" s="70">
        <f t="shared" si="53"/>
        <v>0</v>
      </c>
      <c r="K307" s="84" t="str">
        <f t="shared" si="54"/>
        <v>0.000606256058454257-0.00187531756388037i</v>
      </c>
      <c r="L307" s="86">
        <f t="shared" si="68"/>
        <v>1.9708785791648087E-3</v>
      </c>
      <c r="M307" s="72">
        <f t="shared" si="55"/>
        <v>77.981392919866579</v>
      </c>
      <c r="N307" s="72">
        <f t="shared" si="56"/>
        <v>41.188933548321188</v>
      </c>
      <c r="O307" s="72">
        <f t="shared" si="57"/>
        <v>78.10613270741915</v>
      </c>
      <c r="P307" s="73">
        <f t="shared" si="58"/>
        <v>6.2662550967972974</v>
      </c>
      <c r="Q307" s="74">
        <f t="shared" si="59"/>
        <v>-14.558667168981305</v>
      </c>
      <c r="R307" s="87">
        <f t="shared" si="60"/>
        <v>0.34062523371089015</v>
      </c>
      <c r="S307" s="72">
        <f t="shared" si="61"/>
        <v>4.5135064363499046E-2</v>
      </c>
      <c r="T307" s="88">
        <f t="shared" si="62"/>
        <v>105.17847685562134</v>
      </c>
      <c r="U307" s="88">
        <f t="shared" si="63"/>
        <v>68.38601748407595</v>
      </c>
      <c r="V307" s="89">
        <f t="shared" si="64"/>
        <v>105.30321664317393</v>
      </c>
      <c r="W307" s="125">
        <f t="shared" si="65"/>
        <v>83.695155908450744</v>
      </c>
    </row>
    <row r="308" spans="3:23" x14ac:dyDescent="0.2">
      <c r="C308" s="90">
        <v>257</v>
      </c>
      <c r="D308" s="81">
        <f t="shared" si="66"/>
        <v>1614.7786239451536</v>
      </c>
      <c r="E308" s="82" t="str">
        <f t="shared" si="67"/>
        <v>1614.77862394515i</v>
      </c>
      <c r="F308" s="83" t="str">
        <f t="shared" si="50"/>
        <v>5.88159468325613+0.0994360071482397i</v>
      </c>
      <c r="G308" s="84" t="str">
        <f t="shared" si="51"/>
        <v>-0.0000136307094876767-4.04811707433421E-06i</v>
      </c>
      <c r="H308" s="84" t="str">
        <f t="shared" si="52"/>
        <v>0.00653681291886226-0.0220105783099067i</v>
      </c>
      <c r="I308" s="85">
        <f t="shared" si="69"/>
        <v>1.4219124198942622E-2</v>
      </c>
      <c r="J308" s="70">
        <f t="shared" si="53"/>
        <v>0</v>
      </c>
      <c r="K308" s="84" t="str">
        <f t="shared" si="54"/>
        <v>0.00055370975061035-0.00175516018725692i</v>
      </c>
      <c r="L308" s="86">
        <f t="shared" si="68"/>
        <v>1.8404297788431709E-3</v>
      </c>
      <c r="M308" s="72">
        <f t="shared" si="55"/>
        <v>77.986936987057376</v>
      </c>
      <c r="N308" s="72">
        <f t="shared" si="56"/>
        <v>40.792390961163186</v>
      </c>
      <c r="O308" s="72">
        <f t="shared" si="57"/>
        <v>78.106073252828608</v>
      </c>
      <c r="P308" s="73">
        <f t="shared" si="58"/>
        <v>6.253933906064483</v>
      </c>
      <c r="Q308" s="74">
        <f t="shared" si="59"/>
        <v>-14.232964760479179</v>
      </c>
      <c r="R308" s="87">
        <f t="shared" si="60"/>
        <v>0.32563197585912523</v>
      </c>
      <c r="S308" s="72">
        <f t="shared" si="61"/>
        <v>4.2147658106765865E-2</v>
      </c>
      <c r="T308" s="88">
        <f t="shared" si="62"/>
        <v>105.18402092281215</v>
      </c>
      <c r="U308" s="88">
        <f t="shared" si="63"/>
        <v>67.989474896917955</v>
      </c>
      <c r="V308" s="89">
        <f t="shared" si="64"/>
        <v>105.30315718858338</v>
      </c>
      <c r="W308" s="125">
        <f t="shared" si="65"/>
        <v>83.860047957975112</v>
      </c>
    </row>
    <row r="309" spans="3:23" x14ac:dyDescent="0.2">
      <c r="C309" s="90">
        <v>263</v>
      </c>
      <c r="D309" s="81">
        <f t="shared" si="66"/>
        <v>1652.4777357882313</v>
      </c>
      <c r="E309" s="82" t="str">
        <f t="shared" si="67"/>
        <v>1652.47773578823i</v>
      </c>
      <c r="F309" s="83" t="str">
        <f t="shared" si="50"/>
        <v>5.87800973236782+0.0970478062378912i</v>
      </c>
      <c r="G309" s="84" t="str">
        <f t="shared" si="51"/>
        <v>-0.0000130491406949264-3.78183832552474E-06i</v>
      </c>
      <c r="H309" s="84" t="str">
        <f t="shared" si="52"/>
        <v>0.00624940363328027-0.021563414469534i</v>
      </c>
      <c r="I309" s="85">
        <f t="shared" si="69"/>
        <v>1.3586109597540866E-2</v>
      </c>
      <c r="J309" s="70">
        <f t="shared" si="53"/>
        <v>0</v>
      </c>
      <c r="K309" s="84" t="str">
        <f t="shared" si="54"/>
        <v>0.000505198335995384-0.0016413295303082i</v>
      </c>
      <c r="L309" s="86">
        <f t="shared" si="68"/>
        <v>1.7173200009765919E-3</v>
      </c>
      <c r="M309" s="72">
        <f t="shared" si="55"/>
        <v>77.992287314020373</v>
      </c>
      <c r="N309" s="72">
        <f t="shared" si="56"/>
        <v>40.391482990680714</v>
      </c>
      <c r="O309" s="72">
        <f t="shared" si="57"/>
        <v>78.106015827189552</v>
      </c>
      <c r="P309" s="73">
        <f t="shared" si="58"/>
        <v>6.242076196647</v>
      </c>
      <c r="Q309" s="74">
        <f t="shared" si="59"/>
        <v>-13.910943714984136</v>
      </c>
      <c r="R309" s="87">
        <f t="shared" si="60"/>
        <v>0.31113531681612605</v>
      </c>
      <c r="S309" s="72">
        <f t="shared" si="61"/>
        <v>3.9328322706541054E-2</v>
      </c>
      <c r="T309" s="88">
        <f t="shared" si="62"/>
        <v>105.18937124977515</v>
      </c>
      <c r="U309" s="88">
        <f t="shared" si="63"/>
        <v>67.588566926435476</v>
      </c>
      <c r="V309" s="89">
        <f t="shared" si="64"/>
        <v>105.30309976294433</v>
      </c>
      <c r="W309" s="125">
        <f t="shared" si="65"/>
        <v>84.019352017889659</v>
      </c>
    </row>
    <row r="310" spans="3:23" x14ac:dyDescent="0.2">
      <c r="C310" s="90">
        <v>269.2</v>
      </c>
      <c r="D310" s="81">
        <f t="shared" si="66"/>
        <v>1691.4334846927445</v>
      </c>
      <c r="E310" s="82" t="str">
        <f t="shared" si="67"/>
        <v>1691.43348469274i</v>
      </c>
      <c r="F310" s="83" t="str">
        <f t="shared" si="50"/>
        <v>5.87455827271636+0.0947001619912565i</v>
      </c>
      <c r="G310" s="84" t="str">
        <f t="shared" si="51"/>
        <v>-0.0000124856340292811-3.53056201501844E-06i</v>
      </c>
      <c r="H310" s="84" t="str">
        <f t="shared" si="52"/>
        <v>0.00597171081198646-0.0211186194747452i</v>
      </c>
      <c r="I310" s="85">
        <f t="shared" si="69"/>
        <v>1.2975204247141285E-2</v>
      </c>
      <c r="J310" s="70">
        <f t="shared" si="53"/>
        <v>0</v>
      </c>
      <c r="K310" s="84" t="str">
        <f t="shared" si="54"/>
        <v>0.000460516298557603-0.00153373010568721i</v>
      </c>
      <c r="L310" s="86">
        <f t="shared" si="68"/>
        <v>1.6013754395295613E-3</v>
      </c>
      <c r="M310" s="72">
        <f t="shared" si="55"/>
        <v>77.997441382140011</v>
      </c>
      <c r="N310" s="72">
        <f t="shared" si="56"/>
        <v>39.986707839640474</v>
      </c>
      <c r="O310" s="72">
        <f t="shared" si="57"/>
        <v>78.105960463023891</v>
      </c>
      <c r="P310" s="73">
        <f t="shared" si="58"/>
        <v>6.2306839015624584</v>
      </c>
      <c r="Q310" s="74">
        <f t="shared" si="59"/>
        <v>-13.593075535174087</v>
      </c>
      <c r="R310" s="87">
        <f t="shared" si="60"/>
        <v>0.29714498143890783</v>
      </c>
      <c r="S310" s="72">
        <f t="shared" si="61"/>
        <v>3.6673077833096326E-2</v>
      </c>
      <c r="T310" s="88">
        <f t="shared" si="62"/>
        <v>105.19452531789477</v>
      </c>
      <c r="U310" s="88">
        <f t="shared" si="63"/>
        <v>67.183791775395235</v>
      </c>
      <c r="V310" s="89">
        <f t="shared" si="64"/>
        <v>105.30304439877867</v>
      </c>
      <c r="W310" s="125">
        <f t="shared" si="65"/>
        <v>84.172974520029413</v>
      </c>
    </row>
    <row r="311" spans="3:23" x14ac:dyDescent="0.2">
      <c r="C311" s="90">
        <v>275.39999999999998</v>
      </c>
      <c r="D311" s="81">
        <f t="shared" si="66"/>
        <v>1730.389233597258</v>
      </c>
      <c r="E311" s="82" t="str">
        <f t="shared" si="67"/>
        <v>1730.38923359726i</v>
      </c>
      <c r="F311" s="83" t="str">
        <f t="shared" si="50"/>
        <v>5.87134085869243+0.0924657408058998i</v>
      </c>
      <c r="G311" s="84" t="str">
        <f t="shared" si="51"/>
        <v>-0.0000119571496805884-3.30097675317566E-06i</v>
      </c>
      <c r="H311" s="84" t="str">
        <f t="shared" si="52"/>
        <v>0.00571197463405-0.0206905230718011i</v>
      </c>
      <c r="I311" s="85">
        <f t="shared" si="69"/>
        <v>1.2404429693016984E-2</v>
      </c>
      <c r="J311" s="70">
        <f t="shared" si="53"/>
        <v>0</v>
      </c>
      <c r="K311" s="84" t="str">
        <f t="shared" si="54"/>
        <v>0.00042066103013808-0.00143526174089242i</v>
      </c>
      <c r="L311" s="86">
        <f t="shared" si="68"/>
        <v>1.4956376456703581E-3</v>
      </c>
      <c r="M311" s="72">
        <f t="shared" si="55"/>
        <v>78.002248576079836</v>
      </c>
      <c r="N311" s="72">
        <f t="shared" si="56"/>
        <v>39.591149937987083</v>
      </c>
      <c r="O311" s="72">
        <f t="shared" si="57"/>
        <v>78.105908785335558</v>
      </c>
      <c r="P311" s="73">
        <f t="shared" si="58"/>
        <v>6.2200851589736654</v>
      </c>
      <c r="Q311" s="74">
        <f t="shared" si="59"/>
        <v>-13.289345528644469</v>
      </c>
      <c r="R311" s="87">
        <f t="shared" si="60"/>
        <v>0.28407368089822976</v>
      </c>
      <c r="S311" s="72">
        <f t="shared" si="61"/>
        <v>3.4251578009646039E-2</v>
      </c>
      <c r="T311" s="88">
        <f t="shared" si="62"/>
        <v>105.1993325118346</v>
      </c>
      <c r="U311" s="88">
        <f t="shared" si="63"/>
        <v>66.788233873741859</v>
      </c>
      <c r="V311" s="89">
        <f t="shared" si="64"/>
        <v>105.30299272109033</v>
      </c>
      <c r="W311" s="125">
        <f t="shared" si="65"/>
        <v>84.316401445396068</v>
      </c>
    </row>
    <row r="312" spans="3:23" x14ac:dyDescent="0.2">
      <c r="C312" s="90">
        <v>281.8</v>
      </c>
      <c r="D312" s="81">
        <f t="shared" si="66"/>
        <v>1770.6016195632076</v>
      </c>
      <c r="E312" s="82" t="str">
        <f t="shared" si="67"/>
        <v>1770.60161956321i</v>
      </c>
      <c r="F312" s="83" t="str">
        <f t="shared" si="50"/>
        <v>5.86824315473074+0.0902693816836083i</v>
      </c>
      <c r="G312" s="84" t="str">
        <f t="shared" si="51"/>
        <v>-0.0000114454080279047-0.0000030843206009833i</v>
      </c>
      <c r="H312" s="84" t="str">
        <f t="shared" si="52"/>
        <v>0.0054611030513532-0.0202652579907698i</v>
      </c>
      <c r="I312" s="85">
        <f t="shared" si="69"/>
        <v>1.1853708217046484E-2</v>
      </c>
      <c r="J312" s="70">
        <f t="shared" si="53"/>
        <v>0</v>
      </c>
      <c r="K312" s="84" t="str">
        <f t="shared" si="54"/>
        <v>0.000383935216427563-0.00134219843410942i</v>
      </c>
      <c r="L312" s="86">
        <f t="shared" si="68"/>
        <v>1.3960311196169872E-3</v>
      </c>
      <c r="M312" s="72">
        <f t="shared" si="55"/>
        <v>78.006879306582704</v>
      </c>
      <c r="N312" s="72">
        <f t="shared" si="56"/>
        <v>39.192065225407276</v>
      </c>
      <c r="O312" s="72">
        <f t="shared" si="57"/>
        <v>78.105858968680678</v>
      </c>
      <c r="P312" s="73">
        <f t="shared" si="58"/>
        <v>6.209899889097505</v>
      </c>
      <c r="Q312" s="74">
        <f t="shared" si="59"/>
        <v>-12.989674845246165</v>
      </c>
      <c r="R312" s="87">
        <f t="shared" si="60"/>
        <v>0.27146161563603421</v>
      </c>
      <c r="S312" s="72">
        <f t="shared" si="61"/>
        <v>3.1970490269401491E-2</v>
      </c>
      <c r="T312" s="88">
        <f t="shared" si="62"/>
        <v>105.20396324233747</v>
      </c>
      <c r="U312" s="88">
        <f t="shared" si="63"/>
        <v>66.389149161162038</v>
      </c>
      <c r="V312" s="89">
        <f t="shared" si="64"/>
        <v>105.30294290443544</v>
      </c>
      <c r="W312" s="125">
        <f t="shared" si="65"/>
        <v>84.454694383936982</v>
      </c>
    </row>
    <row r="313" spans="3:23" x14ac:dyDescent="0.2">
      <c r="C313" s="90">
        <v>288.39999999999998</v>
      </c>
      <c r="D313" s="81">
        <f t="shared" si="66"/>
        <v>1812.0706425905926</v>
      </c>
      <c r="E313" s="82" t="str">
        <f t="shared" si="67"/>
        <v>1812.07064259059i</v>
      </c>
      <c r="F313" s="83" t="str">
        <f t="shared" si="50"/>
        <v>5.86526520410606+0.0881131153089739i</v>
      </c>
      <c r="G313" s="84" t="str">
        <f t="shared" si="51"/>
        <v>-0.0000109507372157053-2.88023437836439E-06i</v>
      </c>
      <c r="H313" s="84" t="str">
        <f t="shared" si="52"/>
        <v>0.00521918816081427-0.0198435094233038i</v>
      </c>
      <c r="I313" s="85">
        <f t="shared" si="69"/>
        <v>1.1323179572970889E-2</v>
      </c>
      <c r="J313" s="70">
        <f t="shared" si="53"/>
        <v>0</v>
      </c>
      <c r="K313" s="84" t="str">
        <f t="shared" si="54"/>
        <v>0.000350159430149445-0.00125440771526365i</v>
      </c>
      <c r="L313" s="86">
        <f t="shared" si="68"/>
        <v>1.3023633681256374E-3</v>
      </c>
      <c r="M313" s="72">
        <f t="shared" si="55"/>
        <v>78.011333238786293</v>
      </c>
      <c r="N313" s="72">
        <f t="shared" si="56"/>
        <v>38.789892025865541</v>
      </c>
      <c r="O313" s="72">
        <f t="shared" si="57"/>
        <v>78.105811020842751</v>
      </c>
      <c r="P313" s="73">
        <f t="shared" si="58"/>
        <v>6.2001260138784247</v>
      </c>
      <c r="Q313" s="74">
        <f t="shared" si="59"/>
        <v>-12.694417371809287</v>
      </c>
      <c r="R313" s="87">
        <f t="shared" si="60"/>
        <v>0.25931198615090423</v>
      </c>
      <c r="S313" s="72">
        <f t="shared" si="61"/>
        <v>2.982540632712339E-2</v>
      </c>
      <c r="T313" s="88">
        <f t="shared" si="62"/>
        <v>105.20841717454107</v>
      </c>
      <c r="U313" s="88">
        <f t="shared" si="63"/>
        <v>65.986975961620317</v>
      </c>
      <c r="V313" s="89">
        <f t="shared" si="64"/>
        <v>105.30289495659753</v>
      </c>
      <c r="W313" s="125">
        <f t="shared" si="65"/>
        <v>84.587828717453192</v>
      </c>
    </row>
    <row r="314" spans="3:23" x14ac:dyDescent="0.2">
      <c r="C314" s="90">
        <v>295.10000000000002</v>
      </c>
      <c r="D314" s="81">
        <f t="shared" si="66"/>
        <v>1854.167984148696</v>
      </c>
      <c r="E314" s="82" t="str">
        <f t="shared" si="67"/>
        <v>1854.1679841487i</v>
      </c>
      <c r="F314" s="83" t="str">
        <f t="shared" si="50"/>
        <v>5.86244691379784+0.0860289555002344i</v>
      </c>
      <c r="G314" s="84" t="str">
        <f t="shared" si="51"/>
        <v>-0.0000104801290430856-2.69100302800309E-06i</v>
      </c>
      <c r="H314" s="84" t="str">
        <f t="shared" si="52"/>
        <v>0.00498957165977054-0.0194319197414363i</v>
      </c>
      <c r="I314" s="85">
        <f t="shared" si="69"/>
        <v>1.0820101758137402E-2</v>
      </c>
      <c r="J314" s="70">
        <f t="shared" si="53"/>
        <v>0</v>
      </c>
      <c r="K314" s="84" t="str">
        <f t="shared" si="54"/>
        <v>0.000319582505020653-0.00117289517617712i</v>
      </c>
      <c r="L314" s="86">
        <f t="shared" si="68"/>
        <v>1.2156545857334776E-3</v>
      </c>
      <c r="M314" s="72">
        <f t="shared" si="55"/>
        <v>78.015550383644182</v>
      </c>
      <c r="N314" s="72">
        <f t="shared" si="56"/>
        <v>38.390931504266348</v>
      </c>
      <c r="O314" s="72">
        <f t="shared" si="57"/>
        <v>78.105765592245348</v>
      </c>
      <c r="P314" s="73">
        <f t="shared" si="58"/>
        <v>6.1908920492785819</v>
      </c>
      <c r="Q314" s="74">
        <f t="shared" si="59"/>
        <v>-12.408054950788308</v>
      </c>
      <c r="R314" s="87">
        <f t="shared" si="60"/>
        <v>0.24779100774442114</v>
      </c>
      <c r="S314" s="72">
        <f t="shared" si="61"/>
        <v>2.7839689644460364E-2</v>
      </c>
      <c r="T314" s="88">
        <f t="shared" si="62"/>
        <v>105.21263431939894</v>
      </c>
      <c r="U314" s="88">
        <f t="shared" si="63"/>
        <v>65.58801544002111</v>
      </c>
      <c r="V314" s="89">
        <f t="shared" si="64"/>
        <v>105.30284952800011</v>
      </c>
      <c r="W314" s="125">
        <f t="shared" si="65"/>
        <v>84.713994867619846</v>
      </c>
    </row>
    <row r="315" spans="3:23" x14ac:dyDescent="0.2">
      <c r="C315" s="90">
        <v>302</v>
      </c>
      <c r="D315" s="81">
        <f t="shared" si="66"/>
        <v>1897.521962768235</v>
      </c>
      <c r="E315" s="82" t="str">
        <f t="shared" si="67"/>
        <v>1897.52196276823i</v>
      </c>
      <c r="F315" s="83" t="str">
        <f t="shared" si="50"/>
        <v>5.8597408221442+0.0839849711587313i</v>
      </c>
      <c r="G315" s="84" t="str">
        <f t="shared" si="51"/>
        <v>-0.0000100259975299024-2.51300381339812E-06i</v>
      </c>
      <c r="H315" s="84" t="str">
        <f t="shared" si="52"/>
        <v>0.00476847992844325-0.0190245505116498i</v>
      </c>
      <c r="I315" s="85">
        <f t="shared" si="69"/>
        <v>1.0336141186911221E-2</v>
      </c>
      <c r="J315" s="70">
        <f t="shared" si="53"/>
        <v>0</v>
      </c>
      <c r="K315" s="84" t="str">
        <f t="shared" si="54"/>
        <v>0.000291498723083115-0.00109612088445811i</v>
      </c>
      <c r="L315" s="86">
        <f t="shared" si="68"/>
        <v>1.1342188937345013E-3</v>
      </c>
      <c r="M315" s="72">
        <f t="shared" si="55"/>
        <v>78.019601478362176</v>
      </c>
      <c r="N315" s="72">
        <f t="shared" si="56"/>
        <v>37.989419868852742</v>
      </c>
      <c r="O315" s="72">
        <f t="shared" si="57"/>
        <v>78.105721925161731</v>
      </c>
      <c r="P315" s="73">
        <f t="shared" si="58"/>
        <v>6.1820402076430749</v>
      </c>
      <c r="Q315" s="74">
        <f t="shared" si="59"/>
        <v>-12.126294482636402</v>
      </c>
      <c r="R315" s="87">
        <f t="shared" si="60"/>
        <v>0.23670783308180643</v>
      </c>
      <c r="S315" s="72">
        <f t="shared" si="61"/>
        <v>2.5974731935387553E-2</v>
      </c>
      <c r="T315" s="88">
        <f t="shared" si="62"/>
        <v>105.21668541411694</v>
      </c>
      <c r="U315" s="88">
        <f t="shared" si="63"/>
        <v>65.186503804607511</v>
      </c>
      <c r="V315" s="89">
        <f t="shared" si="64"/>
        <v>105.30280586091649</v>
      </c>
      <c r="W315" s="125">
        <f t="shared" si="65"/>
        <v>84.835293798343727</v>
      </c>
    </row>
    <row r="316" spans="3:23" x14ac:dyDescent="0.2">
      <c r="C316" s="90">
        <v>309</v>
      </c>
      <c r="D316" s="81">
        <f t="shared" si="66"/>
        <v>1941.5042599184922</v>
      </c>
      <c r="E316" s="82" t="str">
        <f t="shared" si="67"/>
        <v>1941.50425991849i</v>
      </c>
      <c r="F316" s="83" t="str">
        <f t="shared" si="50"/>
        <v>5.85718090893755+0.0820099280372698i</v>
      </c>
      <c r="G316" s="84" t="str">
        <f t="shared" si="51"/>
        <v>-9.59435332260419E-06-2.34806271708993E-06i</v>
      </c>
      <c r="H316" s="84" t="str">
        <f t="shared" si="52"/>
        <v>0.00455877376778588-0.0186274778469992i</v>
      </c>
      <c r="I316" s="85">
        <f t="shared" si="69"/>
        <v>9.8775004025489048E-3</v>
      </c>
      <c r="J316" s="70">
        <f t="shared" si="53"/>
        <v>0</v>
      </c>
      <c r="K316" s="84" t="str">
        <f t="shared" si="54"/>
        <v>0.000266087291908653-0.0010248905921243i</v>
      </c>
      <c r="L316" s="86">
        <f t="shared" si="68"/>
        <v>1.0588688175313214E-3</v>
      </c>
      <c r="M316" s="72">
        <f t="shared" si="55"/>
        <v>78.023435399056766</v>
      </c>
      <c r="N316" s="72">
        <f t="shared" si="56"/>
        <v>37.591356229502104</v>
      </c>
      <c r="O316" s="72">
        <f t="shared" si="57"/>
        <v>78.10568057451114</v>
      </c>
      <c r="P316" s="73">
        <f t="shared" si="58"/>
        <v>6.1736795834556428</v>
      </c>
      <c r="Q316" s="74">
        <f t="shared" si="59"/>
        <v>-11.853188788497439</v>
      </c>
      <c r="R316" s="87">
        <f t="shared" si="60"/>
        <v>0.22620450652442353</v>
      </c>
      <c r="S316" s="72">
        <f t="shared" si="61"/>
        <v>2.4249140833440378E-2</v>
      </c>
      <c r="T316" s="88">
        <f t="shared" si="62"/>
        <v>105.22051933481154</v>
      </c>
      <c r="U316" s="88">
        <f t="shared" si="63"/>
        <v>64.788440165256873</v>
      </c>
      <c r="V316" s="89">
        <f t="shared" si="64"/>
        <v>105.30276451026592</v>
      </c>
      <c r="W316" s="125">
        <f t="shared" si="65"/>
        <v>84.950180876574805</v>
      </c>
    </row>
    <row r="317" spans="3:23" x14ac:dyDescent="0.2">
      <c r="C317" s="90">
        <v>316.2</v>
      </c>
      <c r="D317" s="91">
        <f t="shared" si="66"/>
        <v>1986.7431941301852</v>
      </c>
      <c r="E317" s="92" t="str">
        <f t="shared" si="67"/>
        <v>1986.74319413019i</v>
      </c>
      <c r="F317" s="93" t="str">
        <f t="shared" si="50"/>
        <v>5.8547252740595+0.0800746240774396i</v>
      </c>
      <c r="G317" s="94" t="str">
        <f t="shared" si="51"/>
        <v>-9.17841815375968E-06-2.19308634914497E-06i</v>
      </c>
      <c r="H317" s="94" t="str">
        <f t="shared" si="52"/>
        <v>0.00435709937830359-0.018235159799863i</v>
      </c>
      <c r="I317" s="95">
        <f t="shared" si="69"/>
        <v>9.4367890481917242E-3</v>
      </c>
      <c r="J317" s="96">
        <f t="shared" si="53"/>
        <v>0</v>
      </c>
      <c r="K317" s="94" t="str">
        <f t="shared" si="54"/>
        <v>0.000242770771306822-0.000957884825333201i</v>
      </c>
      <c r="L317" s="97">
        <f t="shared" si="68"/>
        <v>9.8817052476003666E-4</v>
      </c>
      <c r="M317" s="98">
        <f t="shared" si="55"/>
        <v>78.027114661938882</v>
      </c>
      <c r="N317" s="98">
        <f t="shared" si="56"/>
        <v>37.191218683949785</v>
      </c>
      <c r="O317" s="98">
        <f t="shared" si="57"/>
        <v>78.105640869577655</v>
      </c>
      <c r="P317" s="73">
        <f t="shared" si="58"/>
        <v>6.1656714338012648</v>
      </c>
      <c r="Q317" s="74">
        <f t="shared" si="59"/>
        <v>-11.584783334187774</v>
      </c>
      <c r="R317" s="99">
        <f t="shared" si="60"/>
        <v>0.21611178160726222</v>
      </c>
      <c r="S317" s="98">
        <f t="shared" si="61"/>
        <v>2.263008016255234E-2</v>
      </c>
      <c r="T317" s="100">
        <f t="shared" si="62"/>
        <v>105.22419859769366</v>
      </c>
      <c r="U317" s="100">
        <f t="shared" si="63"/>
        <v>64.388302619704547</v>
      </c>
      <c r="V317" s="101">
        <f t="shared" si="64"/>
        <v>105.30272480533242</v>
      </c>
      <c r="W317" s="125">
        <f t="shared" si="65"/>
        <v>85.060516590848664</v>
      </c>
    </row>
    <row r="318" spans="3:23" x14ac:dyDescent="0.2">
      <c r="C318" s="90">
        <v>323.60000000000002</v>
      </c>
      <c r="D318" s="81">
        <f t="shared" ref="D318:D367" si="70">2*PI()*C318</f>
        <v>2033.2387654033143</v>
      </c>
      <c r="E318" s="82" t="str">
        <f t="shared" ref="E318:E367" si="71">COMPLEX(0,2*PI()*C318)</f>
        <v>2033.23876540331i</v>
      </c>
      <c r="F318" s="83" t="str">
        <f t="shared" ref="F318:F367" si="72">IMPRODUCT(IMDIV(COMPLEX(0,Sd*Dbl/Sp*D318),COMPLEX(Kbp,Dbl*D318)),IMSUM(IMDIV(IMPRODUCT(COMPLEX(Kbp,0),IMSUB(COMPLEX(1,0),IMDIV(COMPLEX(Kbp,0),COMPLEX(Kbp,Dbl*D318)))),IMSUB(Mp*D318^2,IMPRODUCT(COMPLEX(Kbp,0),IMSUB(COMPLEX(1,0),IMDIV(COMPLEX(Kbp,0),COMPLEX(Kbp,Dbl*D318)))))),COMPLEX(1,0)))</f>
        <v>5.85237218022029+0.0781799444021182i</v>
      </c>
      <c r="G318" s="84" t="str">
        <f t="shared" ref="G318:G367" si="73">IMDIV(COMPLEX(Bl,0),IMPRODUCT(COMPLEX(Re,Le*D318),IMSUM(COMPLEX(Kd-Md*D318^2,0),IMPRODUCT(E318,IMSUM(COMPLEX(Dd,0),IMDIV(COMPLEX(Bl^2,0),COMPLEX(Re,Le*D318)))),IMPRODUCT(COMPLEX(Sd*Kbp/Sp,0),F318))))</f>
        <v>-0.0000087781239667749-2.04765724270889E-06i</v>
      </c>
      <c r="H318" s="84" t="str">
        <f t="shared" ref="H318:H367" si="74">IMPRODUCT(E318,G318)</f>
        <v>0.00416337608413457-0.0178480219367626i</v>
      </c>
      <c r="I318" s="85">
        <f t="shared" ref="I318:I367" si="75">1000*IMABS(G318)</f>
        <v>9.0137872484148465E-3</v>
      </c>
      <c r="J318" s="70">
        <f t="shared" si="53"/>
        <v>0</v>
      </c>
      <c r="K318" s="84" t="str">
        <f t="shared" ref="K318:K367" si="76">IMPRODUCT(E318,IMPRODUCT(IMDIV(COMPLEX(0,Sd*Kbp*Dbl/Sp*D318),IMPRODUCT(COMPLEX(Kbp,Dbl*D318),IMSUB(COMPLEX(Mp*D318^2,0),IMPRODUCT(COMPLEX(Kbp,0),IMSUB(COMPLEX(1,0),IMDIV(COMPLEX(Kbp,0),COMPLEX(Kbp,Dbl*D318))))))),G318))</f>
        <v>0.000221405256225533-0.000894936188841808i</v>
      </c>
      <c r="L318" s="86">
        <f t="shared" ref="L318:L367" si="77">IMABS(K318)</f>
        <v>9.2191706220407584E-4</v>
      </c>
      <c r="M318" s="72">
        <f t="shared" ref="M318:M367" si="78">79.6+20*LOG10(IMABS(IMPRODUCT(COMPLEX(Sd*D318,0),H318)))</f>
        <v>78.030641683487545</v>
      </c>
      <c r="N318" s="72">
        <f t="shared" ref="N318:N367" si="79">79.6+20*LOG10(IMABS(IMPRODUCT(COMPLEX(Sp*D318,0),K318)))</f>
        <v>36.789350772855187</v>
      </c>
      <c r="O318" s="72">
        <f t="shared" si="57"/>
        <v>78.105602787076123</v>
      </c>
      <c r="P318" s="73">
        <f t="shared" si="58"/>
        <v>6.1580085984325619</v>
      </c>
      <c r="Q318" s="74">
        <f t="shared" si="59"/>
        <v>-11.321263508238591</v>
      </c>
      <c r="R318" s="87">
        <f t="shared" ref="R318:R367" si="80">MaxV*I318</f>
        <v>0.20642462296611652</v>
      </c>
      <c r="S318" s="72">
        <f t="shared" ref="S318:S367" si="81">MaxV*L318</f>
        <v>2.1112810489838575E-2</v>
      </c>
      <c r="T318" s="88">
        <f t="shared" si="62"/>
        <v>105.22772561924231</v>
      </c>
      <c r="U318" s="88">
        <f t="shared" si="63"/>
        <v>63.986434708609956</v>
      </c>
      <c r="V318" s="89">
        <f t="shared" si="64"/>
        <v>105.30268672283088</v>
      </c>
      <c r="W318" s="125">
        <f t="shared" si="65"/>
        <v>85.166363265888748</v>
      </c>
    </row>
    <row r="319" spans="3:23" x14ac:dyDescent="0.2">
      <c r="C319" s="90">
        <v>331.1</v>
      </c>
      <c r="D319" s="91">
        <f t="shared" si="70"/>
        <v>2080.362655207161</v>
      </c>
      <c r="E319" s="92" t="str">
        <f t="shared" si="71"/>
        <v>2080.36265520716i</v>
      </c>
      <c r="F319" s="93" t="str">
        <f t="shared" si="72"/>
        <v>5.85014815368338+0.0763503471677118i</v>
      </c>
      <c r="G319" s="94" t="str">
        <f t="shared" si="73"/>
        <v>-8.39822701662579E-06-0.0000019130579897882i</v>
      </c>
      <c r="H319" s="94" t="str">
        <f t="shared" si="74"/>
        <v>0.00397985439920105-0.0174713578553401i</v>
      </c>
      <c r="I319" s="95">
        <f t="shared" si="75"/>
        <v>8.6133621713635027E-3</v>
      </c>
      <c r="J319" s="96">
        <f t="shared" si="53"/>
        <v>0</v>
      </c>
      <c r="K319" s="94" t="str">
        <f t="shared" si="76"/>
        <v>0.000202094114160572-0.000836613024916285i</v>
      </c>
      <c r="L319" s="97">
        <f t="shared" si="77"/>
        <v>8.6067612052265229E-4</v>
      </c>
      <c r="M319" s="98">
        <f t="shared" si="78"/>
        <v>78.033976504063219</v>
      </c>
      <c r="N319" s="98">
        <f t="shared" si="79"/>
        <v>36.391322148101523</v>
      </c>
      <c r="O319" s="98">
        <f t="shared" si="57"/>
        <v>78.105566761436052</v>
      </c>
      <c r="P319" s="73">
        <f t="shared" si="58"/>
        <v>6.1507758701601336</v>
      </c>
      <c r="Q319" s="74">
        <f t="shared" si="59"/>
        <v>-11.066105487082492</v>
      </c>
      <c r="R319" s="99">
        <f t="shared" si="80"/>
        <v>0.19725449355452676</v>
      </c>
      <c r="S319" s="98">
        <f t="shared" si="81"/>
        <v>1.9710332491603044E-2</v>
      </c>
      <c r="T319" s="100">
        <f t="shared" si="62"/>
        <v>105.23106043981798</v>
      </c>
      <c r="U319" s="100">
        <f t="shared" si="63"/>
        <v>63.588406083856292</v>
      </c>
      <c r="V319" s="101">
        <f t="shared" si="64"/>
        <v>105.30265069719081</v>
      </c>
      <c r="W319" s="125">
        <f t="shared" si="65"/>
        <v>85.266510820677965</v>
      </c>
    </row>
    <row r="320" spans="3:23" x14ac:dyDescent="0.2">
      <c r="C320" s="90">
        <v>338.8</v>
      </c>
      <c r="D320" s="81">
        <f t="shared" si="70"/>
        <v>2128.7431820724437</v>
      </c>
      <c r="E320" s="82" t="str">
        <f t="shared" si="71"/>
        <v>2128.74318207244i</v>
      </c>
      <c r="F320" s="83" t="str">
        <f t="shared" si="72"/>
        <v>5.84801829364209+0.0745602121076084i</v>
      </c>
      <c r="G320" s="84" t="str">
        <f t="shared" si="73"/>
        <v>-8.03299074611528E-06-1.78683643656186E-06i</v>
      </c>
      <c r="H320" s="84" t="str">
        <f t="shared" si="74"/>
        <v>0.00380371588180967-0.0171001742824439i</v>
      </c>
      <c r="I320" s="85">
        <f t="shared" si="75"/>
        <v>8.2293210399278279E-3</v>
      </c>
      <c r="J320" s="70">
        <f t="shared" si="53"/>
        <v>0</v>
      </c>
      <c r="K320" s="84" t="str">
        <f t="shared" si="76"/>
        <v>0.000184407302999357-0.000781864612347437i</v>
      </c>
      <c r="L320" s="86">
        <f t="shared" si="77"/>
        <v>8.0331707652750949E-4</v>
      </c>
      <c r="M320" s="72">
        <f t="shared" si="78"/>
        <v>78.037171271900093</v>
      </c>
      <c r="N320" s="72">
        <f t="shared" si="79"/>
        <v>35.991951475459928</v>
      </c>
      <c r="O320" s="72">
        <f t="shared" si="57"/>
        <v>78.105532232029702</v>
      </c>
      <c r="P320" s="73">
        <f t="shared" si="58"/>
        <v>6.1438582909096633</v>
      </c>
      <c r="Q320" s="74">
        <f t="shared" si="59"/>
        <v>-10.815806634231986</v>
      </c>
      <c r="R320" s="87">
        <f t="shared" si="80"/>
        <v>0.18845957266552626</v>
      </c>
      <c r="S320" s="72">
        <f t="shared" si="81"/>
        <v>1.8396753781114127E-2</v>
      </c>
      <c r="T320" s="88">
        <f t="shared" si="62"/>
        <v>105.23425520765485</v>
      </c>
      <c r="U320" s="88">
        <f t="shared" si="63"/>
        <v>63.189035411214697</v>
      </c>
      <c r="V320" s="89">
        <f t="shared" si="64"/>
        <v>105.30261616778446</v>
      </c>
      <c r="W320" s="125">
        <f t="shared" si="65"/>
        <v>85.362515288568417</v>
      </c>
    </row>
    <row r="321" spans="3:23" x14ac:dyDescent="0.2">
      <c r="C321" s="90">
        <v>346.7</v>
      </c>
      <c r="D321" s="91">
        <f t="shared" si="70"/>
        <v>2178.3803459991623</v>
      </c>
      <c r="E321" s="92" t="str">
        <f t="shared" si="71"/>
        <v>2178.38034599916i</v>
      </c>
      <c r="F321" s="93" t="str">
        <f t="shared" si="72"/>
        <v>5.84598034718166+0.0728099484912673i</v>
      </c>
      <c r="G321" s="94" t="str">
        <f t="shared" si="73"/>
        <v>-7.68220777502576E-06-1.66858974691063E-06i</v>
      </c>
      <c r="H321" s="94" t="str">
        <f t="shared" si="74"/>
        <v>0.00363482311020583-0.0167347704309981i</v>
      </c>
      <c r="I321" s="95">
        <f t="shared" si="75"/>
        <v>7.861329915616156E-3</v>
      </c>
      <c r="J321" s="96">
        <f t="shared" si="53"/>
        <v>0</v>
      </c>
      <c r="K321" s="94" t="str">
        <f t="shared" si="76"/>
        <v>0.000168225093980213-0.0007305256973863i</v>
      </c>
      <c r="L321" s="97">
        <f t="shared" si="77"/>
        <v>7.4964490046047219E-4</v>
      </c>
      <c r="M321" s="98">
        <f t="shared" si="78"/>
        <v>78.040229220255512</v>
      </c>
      <c r="N321" s="98">
        <f t="shared" si="79"/>
        <v>35.591532113812384</v>
      </c>
      <c r="O321" s="98">
        <f t="shared" si="57"/>
        <v>78.105499166071667</v>
      </c>
      <c r="P321" s="73">
        <f t="shared" si="58"/>
        <v>6.1372473863482444</v>
      </c>
      <c r="Q321" s="74">
        <f t="shared" si="59"/>
        <v>-10.570477914347704</v>
      </c>
      <c r="R321" s="99">
        <f t="shared" si="80"/>
        <v>0.18003221277811901</v>
      </c>
      <c r="S321" s="98">
        <f t="shared" si="81"/>
        <v>1.7167607984450512E-2</v>
      </c>
      <c r="T321" s="100">
        <f t="shared" si="62"/>
        <v>105.23731315601029</v>
      </c>
      <c r="U321" s="100">
        <f t="shared" si="63"/>
        <v>62.788616049567153</v>
      </c>
      <c r="V321" s="101">
        <f t="shared" si="64"/>
        <v>105.30258310182643</v>
      </c>
      <c r="W321" s="125">
        <f t="shared" si="65"/>
        <v>85.454465866110837</v>
      </c>
    </row>
    <row r="322" spans="3:23" x14ac:dyDescent="0.2">
      <c r="C322" s="90">
        <v>354.8</v>
      </c>
      <c r="D322" s="81">
        <f t="shared" si="70"/>
        <v>2229.2741469873172</v>
      </c>
      <c r="E322" s="82" t="str">
        <f t="shared" si="71"/>
        <v>2229.27414698732i</v>
      </c>
      <c r="F322" s="83" t="str">
        <f t="shared" si="72"/>
        <v>5.84403184567797+0.0710997896370536i</v>
      </c>
      <c r="G322" s="84" t="str">
        <f t="shared" si="73"/>
        <v>-7.34562078147739E-06-1.55791392777559E-06i</v>
      </c>
      <c r="H322" s="84" t="str">
        <f t="shared" si="74"/>
        <v>0.00347301724242159-0.0163754025017203i</v>
      </c>
      <c r="I322" s="85">
        <f t="shared" si="75"/>
        <v>7.5090106186920308E-3</v>
      </c>
      <c r="J322" s="70">
        <f t="shared" si="53"/>
        <v>0</v>
      </c>
      <c r="K322" s="84" t="str">
        <f t="shared" si="76"/>
        <v>0.000153433218124978-0.00068242948867024i</v>
      </c>
      <c r="L322" s="86">
        <f t="shared" si="77"/>
        <v>6.9946533826267072E-4</v>
      </c>
      <c r="M322" s="72">
        <f t="shared" si="78"/>
        <v>78.043153916909816</v>
      </c>
      <c r="N322" s="72">
        <f t="shared" si="79"/>
        <v>35.190339645073415</v>
      </c>
      <c r="O322" s="72">
        <f t="shared" si="57"/>
        <v>78.105467526992499</v>
      </c>
      <c r="P322" s="73">
        <f t="shared" si="58"/>
        <v>6.1309340720606302</v>
      </c>
      <c r="Q322" s="74">
        <f t="shared" si="59"/>
        <v>-10.330203817021767</v>
      </c>
      <c r="R322" s="87">
        <f t="shared" si="80"/>
        <v>0.17196375320314519</v>
      </c>
      <c r="S322" s="72">
        <f t="shared" si="81"/>
        <v>1.601844649197047E-2</v>
      </c>
      <c r="T322" s="88">
        <f t="shared" si="62"/>
        <v>105.24023785266459</v>
      </c>
      <c r="U322" s="88">
        <f t="shared" si="63"/>
        <v>62.387423580828184</v>
      </c>
      <c r="V322" s="89">
        <f t="shared" si="64"/>
        <v>105.30255146274726</v>
      </c>
      <c r="W322" s="125">
        <f t="shared" si="65"/>
        <v>85.542462392244005</v>
      </c>
    </row>
    <row r="323" spans="3:23" x14ac:dyDescent="0.2">
      <c r="C323" s="90">
        <v>363.1</v>
      </c>
      <c r="D323" s="91">
        <f t="shared" si="70"/>
        <v>2281.424585036908</v>
      </c>
      <c r="E323" s="92" t="str">
        <f t="shared" si="71"/>
        <v>2281.42458503691i</v>
      </c>
      <c r="F323" s="93" t="str">
        <f t="shared" si="72"/>
        <v>5.84217015190428+0.0694298118993577i</v>
      </c>
      <c r="G323" s="94" t="str">
        <f t="shared" si="73"/>
        <v>-7.02293055014316E-06-1.45440788820773E-06i</v>
      </c>
      <c r="H323" s="94" t="str">
        <f t="shared" si="74"/>
        <v>0.00331812191282873-0.0160222864161034i</v>
      </c>
      <c r="I323" s="95">
        <f t="shared" si="75"/>
        <v>7.1719492341632612E-3</v>
      </c>
      <c r="J323" s="96">
        <f t="shared" si="53"/>
        <v>0</v>
      </c>
      <c r="K323" s="94" t="str">
        <f t="shared" si="76"/>
        <v>0.000139923286877473-0.00063740948094186i</v>
      </c>
      <c r="L323" s="97">
        <f t="shared" si="77"/>
        <v>6.5258667823145681E-4</v>
      </c>
      <c r="M323" s="98">
        <f t="shared" si="78"/>
        <v>78.045949193450284</v>
      </c>
      <c r="N323" s="98">
        <f t="shared" si="79"/>
        <v>34.788632517759993</v>
      </c>
      <c r="O323" s="98">
        <f t="shared" si="57"/>
        <v>78.105437275206185</v>
      </c>
      <c r="P323" s="73">
        <f t="shared" si="58"/>
        <v>6.1249088052872471</v>
      </c>
      <c r="Q323" s="74">
        <f t="shared" si="59"/>
        <v>-10.095044746973382</v>
      </c>
      <c r="R323" s="99">
        <f t="shared" si="80"/>
        <v>0.16424471487882436</v>
      </c>
      <c r="S323" s="98">
        <f t="shared" si="81"/>
        <v>1.4944878916498589E-2</v>
      </c>
      <c r="T323" s="100">
        <f t="shared" si="62"/>
        <v>105.24303312920506</v>
      </c>
      <c r="U323" s="100">
        <f t="shared" si="63"/>
        <v>61.985716453514762</v>
      </c>
      <c r="V323" s="101">
        <f t="shared" si="64"/>
        <v>105.30252121096095</v>
      </c>
      <c r="W323" s="125">
        <f t="shared" si="65"/>
        <v>85.626613221709505</v>
      </c>
    </row>
    <row r="324" spans="3:23" x14ac:dyDescent="0.2">
      <c r="C324" s="90">
        <v>371.5</v>
      </c>
      <c r="D324" s="81">
        <f t="shared" si="70"/>
        <v>2334.2033416172162</v>
      </c>
      <c r="E324" s="82" t="str">
        <f t="shared" si="71"/>
        <v>2334.20334161722i</v>
      </c>
      <c r="F324" s="83" t="str">
        <f t="shared" si="72"/>
        <v>5.84041270276798+0.0678186767956799i</v>
      </c>
      <c r="G324" s="84" t="str">
        <f t="shared" si="73"/>
        <v>-6.71732172473699E-06-1.35876426374605E-06i</v>
      </c>
      <c r="H324" s="84" t="str">
        <f t="shared" si="74"/>
        <v>0.00317163208490609-0.015679594816599i</v>
      </c>
      <c r="I324" s="85">
        <f t="shared" si="75"/>
        <v>6.853367893091461E-3</v>
      </c>
      <c r="J324" s="70">
        <f t="shared" si="53"/>
        <v>0</v>
      </c>
      <c r="K324" s="84" t="str">
        <f t="shared" si="76"/>
        <v>0.000127730029191696-0.000595774563235187i</v>
      </c>
      <c r="L324" s="86">
        <f t="shared" si="77"/>
        <v>6.0931296601614293E-4</v>
      </c>
      <c r="M324" s="72">
        <f t="shared" si="78"/>
        <v>78.048588737743913</v>
      </c>
      <c r="N324" s="72">
        <f t="shared" si="79"/>
        <v>34.391328220382157</v>
      </c>
      <c r="O324" s="72">
        <f t="shared" si="57"/>
        <v>78.105408697393628</v>
      </c>
      <c r="P324" s="73">
        <f t="shared" si="58"/>
        <v>6.1192269933062686</v>
      </c>
      <c r="Q324" s="74">
        <f t="shared" si="59"/>
        <v>-9.8676844381924429</v>
      </c>
      <c r="R324" s="87">
        <f t="shared" si="80"/>
        <v>0.15694888778612801</v>
      </c>
      <c r="S324" s="72">
        <f t="shared" si="81"/>
        <v>1.3953868203442176E-2</v>
      </c>
      <c r="T324" s="88">
        <f t="shared" si="62"/>
        <v>105.24567267349869</v>
      </c>
      <c r="U324" s="88">
        <f t="shared" si="63"/>
        <v>61.588412156136926</v>
      </c>
      <c r="V324" s="89">
        <f t="shared" si="64"/>
        <v>105.3024926331484</v>
      </c>
      <c r="W324" s="125">
        <f t="shared" si="65"/>
        <v>85.706119067370352</v>
      </c>
    </row>
    <row r="325" spans="3:23" x14ac:dyDescent="0.2">
      <c r="C325" s="90">
        <v>380.2</v>
      </c>
      <c r="D325" s="91">
        <f t="shared" si="70"/>
        <v>2388.8670537896787</v>
      </c>
      <c r="E325" s="92" t="str">
        <f t="shared" si="71"/>
        <v>2388.86705378968i</v>
      </c>
      <c r="F325" s="93" t="str">
        <f t="shared" si="72"/>
        <v>5.838714876547+0.0662278714612805i</v>
      </c>
      <c r="G325" s="94" t="str">
        <f t="shared" si="73"/>
        <v>-6.42116798190422E-06-1.26832701009073E-06i</v>
      </c>
      <c r="H325" s="94" t="str">
        <f t="shared" si="74"/>
        <v>0.00302986460783732-0.0153393166388202i</v>
      </c>
      <c r="I325" s="95">
        <f t="shared" si="75"/>
        <v>6.5452312148890218E-3</v>
      </c>
      <c r="J325" s="96">
        <f t="shared" si="53"/>
        <v>0</v>
      </c>
      <c r="K325" s="94" t="str">
        <f t="shared" si="76"/>
        <v>0.000116468541470092-0.000556374792733582i</v>
      </c>
      <c r="L325" s="97">
        <f t="shared" si="77"/>
        <v>5.6843454428940796E-4</v>
      </c>
      <c r="M325" s="98">
        <f t="shared" si="78"/>
        <v>78.051139460491143</v>
      </c>
      <c r="N325" s="98">
        <f t="shared" si="79"/>
        <v>33.989194961826101</v>
      </c>
      <c r="O325" s="98">
        <f t="shared" si="57"/>
        <v>78.105381070696353</v>
      </c>
      <c r="P325" s="73">
        <f t="shared" si="58"/>
        <v>6.1137435347036826</v>
      </c>
      <c r="Q325" s="74">
        <f t="shared" si="59"/>
        <v>-9.6427326058977627</v>
      </c>
      <c r="R325" s="99">
        <f t="shared" si="80"/>
        <v>0.14989225378013279</v>
      </c>
      <c r="S325" s="98">
        <f t="shared" si="81"/>
        <v>1.3017712006292623E-2</v>
      </c>
      <c r="T325" s="100">
        <f t="shared" si="62"/>
        <v>105.24822339624592</v>
      </c>
      <c r="U325" s="100">
        <f t="shared" si="63"/>
        <v>61.18627889758087</v>
      </c>
      <c r="V325" s="101">
        <f t="shared" si="64"/>
        <v>105.30246500645111</v>
      </c>
      <c r="W325" s="125">
        <f t="shared" si="65"/>
        <v>85.782989474711869</v>
      </c>
    </row>
    <row r="326" spans="3:23" x14ac:dyDescent="0.2">
      <c r="C326" s="90">
        <v>389</v>
      </c>
      <c r="D326" s="81">
        <f t="shared" si="70"/>
        <v>2444.1590844928592</v>
      </c>
      <c r="E326" s="82" t="str">
        <f t="shared" si="71"/>
        <v>2444.15908449286i</v>
      </c>
      <c r="F326" s="83" t="str">
        <f t="shared" si="72"/>
        <v>5.8371129976961+0.064693767761448i</v>
      </c>
      <c r="G326" s="84" t="str">
        <f t="shared" si="73"/>
        <v>-6.14092600939233E-06-1.18481868393533E-06i</v>
      </c>
      <c r="H326" s="84" t="str">
        <f t="shared" si="74"/>
        <v>0.00289588534981741-0.0150094000930548i</v>
      </c>
      <c r="I326" s="85">
        <f t="shared" si="75"/>
        <v>6.2541800075336385E-3</v>
      </c>
      <c r="J326" s="70">
        <f t="shared" si="53"/>
        <v>0</v>
      </c>
      <c r="K326" s="84" t="str">
        <f t="shared" si="76"/>
        <v>0.000106311498028722-0.000519966143316897i</v>
      </c>
      <c r="L326" s="86">
        <f t="shared" si="77"/>
        <v>5.3072302080177261E-4</v>
      </c>
      <c r="M326" s="72">
        <f t="shared" si="78"/>
        <v>78.053546692665407</v>
      </c>
      <c r="N326" s="72">
        <f t="shared" si="79"/>
        <v>33.591694009638658</v>
      </c>
      <c r="O326" s="72">
        <f t="shared" si="57"/>
        <v>78.105354988646241</v>
      </c>
      <c r="P326" s="73">
        <f t="shared" si="58"/>
        <v>6.1085749893718901</v>
      </c>
      <c r="Q326" s="74">
        <f t="shared" si="59"/>
        <v>-9.4253738543433805</v>
      </c>
      <c r="R326" s="87">
        <f t="shared" si="80"/>
        <v>0.14322689391680413</v>
      </c>
      <c r="S326" s="72">
        <f t="shared" si="81"/>
        <v>1.2154080903974121E-2</v>
      </c>
      <c r="T326" s="88">
        <f t="shared" si="62"/>
        <v>105.25063062842017</v>
      </c>
      <c r="U326" s="88">
        <f t="shared" si="63"/>
        <v>60.788777945393427</v>
      </c>
      <c r="V326" s="89">
        <f t="shared" si="64"/>
        <v>105.302438924401</v>
      </c>
      <c r="W326" s="125">
        <f t="shared" si="65"/>
        <v>85.85557158601749</v>
      </c>
    </row>
    <row r="327" spans="3:23" x14ac:dyDescent="0.2">
      <c r="C327" s="90">
        <v>398.1</v>
      </c>
      <c r="D327" s="91">
        <f t="shared" si="70"/>
        <v>2501.3360707881934</v>
      </c>
      <c r="E327" s="92" t="str">
        <f t="shared" si="71"/>
        <v>2501.33607078819i</v>
      </c>
      <c r="F327" s="93" t="str">
        <f t="shared" si="72"/>
        <v>5.83556777959446+0.063181141011607i</v>
      </c>
      <c r="G327" s="94" t="str">
        <f t="shared" si="73"/>
        <v>-5.86983645623099E-06-1.10598465976588E-06i</v>
      </c>
      <c r="H327" s="94" t="str">
        <f t="shared" si="74"/>
        <v>0.0027664393232108-0.0146824336575981i</v>
      </c>
      <c r="I327" s="95">
        <f t="shared" si="75"/>
        <v>5.9731216370115751E-3</v>
      </c>
      <c r="J327" s="96">
        <f t="shared" si="53"/>
        <v>0</v>
      </c>
      <c r="K327" s="94" t="str">
        <f t="shared" si="76"/>
        <v>0.0000969454026258094-0.000485570684481505i</v>
      </c>
      <c r="L327" s="97">
        <f t="shared" si="77"/>
        <v>4.9515381521110958E-4</v>
      </c>
      <c r="M327" s="98">
        <f t="shared" si="78"/>
        <v>78.05586938109802</v>
      </c>
      <c r="N327" s="98">
        <f t="shared" si="79"/>
        <v>33.189989605930691</v>
      </c>
      <c r="O327" s="98">
        <f t="shared" si="57"/>
        <v>78.105329813891117</v>
      </c>
      <c r="P327" s="73">
        <f t="shared" si="58"/>
        <v>6.1035938869668698</v>
      </c>
      <c r="Q327" s="74">
        <f t="shared" si="59"/>
        <v>-9.2106575129240422</v>
      </c>
      <c r="R327" s="99">
        <f t="shared" si="80"/>
        <v>0.13679037987808074</v>
      </c>
      <c r="S327" s="98">
        <f t="shared" si="81"/>
        <v>1.1339510995576504E-2</v>
      </c>
      <c r="T327" s="100">
        <f t="shared" ref="T327:T358" si="82">20*LOG10(MaxV)+M327</f>
        <v>105.2529533168528</v>
      </c>
      <c r="U327" s="100">
        <f t="shared" ref="U327:U358" si="83">20*LOG10(MaxV)+N327</f>
        <v>60.38707354168546</v>
      </c>
      <c r="V327" s="101">
        <f t="shared" si="64"/>
        <v>105.30241374964589</v>
      </c>
      <c r="W327" s="125">
        <f t="shared" si="65"/>
        <v>85.925637747369493</v>
      </c>
    </row>
    <row r="328" spans="3:23" x14ac:dyDescent="0.2">
      <c r="C328" s="90">
        <v>407.4</v>
      </c>
      <c r="D328" s="81">
        <f t="shared" si="70"/>
        <v>2559.7696941449631</v>
      </c>
      <c r="E328" s="82" t="str">
        <f t="shared" si="71"/>
        <v>2559.76969414496i</v>
      </c>
      <c r="F328" s="83" t="str">
        <f t="shared" si="72"/>
        <v>5.83409511323006+0.0617073746931372i</v>
      </c>
      <c r="G328" s="84" t="str">
        <f t="shared" si="73"/>
        <v>-5.61077907232525E-06-1.03246894425892E-06i</v>
      </c>
      <c r="H328" s="84" t="str">
        <f t="shared" si="74"/>
        <v>0.00264288271365983-0.0143623022298809i</v>
      </c>
      <c r="I328" s="85">
        <f t="shared" si="75"/>
        <v>5.7049832532008469E-3</v>
      </c>
      <c r="J328" s="70">
        <f t="shared" si="53"/>
        <v>0</v>
      </c>
      <c r="K328" s="84" t="str">
        <f t="shared" si="76"/>
        <v>0.0000884145286957039-0.000453473508322472i</v>
      </c>
      <c r="L328" s="86">
        <f t="shared" si="77"/>
        <v>4.6201228515568117E-4</v>
      </c>
      <c r="M328" s="72">
        <f t="shared" si="78"/>
        <v>78.058083565539505</v>
      </c>
      <c r="N328" s="72">
        <f t="shared" si="79"/>
        <v>32.788834430560648</v>
      </c>
      <c r="O328" s="72">
        <f t="shared" si="57"/>
        <v>78.105305807199201</v>
      </c>
      <c r="P328" s="73">
        <f t="shared" si="58"/>
        <v>6.098850880164318</v>
      </c>
      <c r="Q328" s="74">
        <f t="shared" si="59"/>
        <v>-9.0010823846281642</v>
      </c>
      <c r="R328" s="87">
        <f t="shared" si="80"/>
        <v>0.13064974628473658</v>
      </c>
      <c r="S328" s="72">
        <f t="shared" si="81"/>
        <v>1.0580537252612343E-2</v>
      </c>
      <c r="T328" s="88">
        <f t="shared" si="82"/>
        <v>105.25516750129427</v>
      </c>
      <c r="U328" s="88">
        <f t="shared" si="83"/>
        <v>59.985918366315417</v>
      </c>
      <c r="V328" s="89">
        <f t="shared" si="64"/>
        <v>105.30238974295398</v>
      </c>
      <c r="W328" s="125">
        <f t="shared" si="65"/>
        <v>85.992461136292633</v>
      </c>
    </row>
    <row r="329" spans="3:23" x14ac:dyDescent="0.2">
      <c r="C329" s="90">
        <v>416.9</v>
      </c>
      <c r="D329" s="91">
        <f t="shared" si="70"/>
        <v>2619.4599545631695</v>
      </c>
      <c r="E329" s="92" t="str">
        <f t="shared" si="71"/>
        <v>2619.45995456317i</v>
      </c>
      <c r="F329" s="93" t="str">
        <f t="shared" si="72"/>
        <v>5.83269205440546+0.0602719265024336i</v>
      </c>
      <c r="G329" s="94" t="str">
        <f t="shared" si="73"/>
        <v>-5.36333313398226E-06-9.63937196344501E-07i</v>
      </c>
      <c r="H329" s="94" t="str">
        <f t="shared" si="74"/>
        <v>0.00252499488453832-0.0140490363674483i</v>
      </c>
      <c r="I329" s="95">
        <f t="shared" si="75"/>
        <v>5.4492675860677332E-3</v>
      </c>
      <c r="J329" s="96">
        <f t="shared" si="53"/>
        <v>0</v>
      </c>
      <c r="K329" s="94" t="str">
        <f t="shared" si="76"/>
        <v>0.000080646718359937-0.000423532731985654i</v>
      </c>
      <c r="L329" s="97">
        <f t="shared" si="77"/>
        <v>4.3114251500572153E-4</v>
      </c>
      <c r="M329" s="98">
        <f t="shared" si="78"/>
        <v>78.060193594879053</v>
      </c>
      <c r="N329" s="98">
        <f t="shared" si="79"/>
        <v>32.388398378864167</v>
      </c>
      <c r="O329" s="98">
        <f t="shared" si="57"/>
        <v>78.105282922546564</v>
      </c>
      <c r="P329" s="73">
        <f t="shared" si="58"/>
        <v>6.0943358851815175</v>
      </c>
      <c r="Q329" s="74">
        <f t="shared" si="59"/>
        <v>-8.7966074942977617</v>
      </c>
      <c r="R329" s="99">
        <f t="shared" si="80"/>
        <v>0.1247936051622839</v>
      </c>
      <c r="S329" s="98">
        <f t="shared" si="81"/>
        <v>9.8735890532994832E-3</v>
      </c>
      <c r="T329" s="100">
        <f t="shared" si="82"/>
        <v>105.25727753063381</v>
      </c>
      <c r="U329" s="100">
        <f t="shared" si="83"/>
        <v>59.585482314618936</v>
      </c>
      <c r="V329" s="101">
        <f t="shared" si="64"/>
        <v>105.30236685830133</v>
      </c>
      <c r="W329" s="125">
        <f t="shared" si="65"/>
        <v>86.056168739205205</v>
      </c>
    </row>
    <row r="330" spans="3:23" x14ac:dyDescent="0.2">
      <c r="C330" s="90">
        <v>426.6</v>
      </c>
      <c r="D330" s="81">
        <f t="shared" si="70"/>
        <v>2680.4068520428118</v>
      </c>
      <c r="E330" s="82" t="str">
        <f t="shared" si="71"/>
        <v>2680.40685204281i</v>
      </c>
      <c r="F330" s="83" t="str">
        <f t="shared" si="72"/>
        <v>5.83135569105753+0.0588741949191827i</v>
      </c>
      <c r="G330" s="84" t="str">
        <f t="shared" si="73"/>
        <v>-5.12707408700646E-06-9.00070564042259E-07i</v>
      </c>
      <c r="H330" s="84" t="str">
        <f t="shared" si="74"/>
        <v>0.00241255530718091-0.0137426445137432i</v>
      </c>
      <c r="I330" s="85">
        <f t="shared" si="75"/>
        <v>5.2054793932843953E-3</v>
      </c>
      <c r="J330" s="70">
        <f t="shared" si="53"/>
        <v>0</v>
      </c>
      <c r="K330" s="84" t="str">
        <f t="shared" si="76"/>
        <v>0.0000735753571677913-0.000395612699788878i</v>
      </c>
      <c r="L330" s="86">
        <f t="shared" si="77"/>
        <v>4.0239624925763533E-4</v>
      </c>
      <c r="M330" s="72">
        <f t="shared" si="78"/>
        <v>78.062203777406708</v>
      </c>
      <c r="N330" s="72">
        <f t="shared" si="79"/>
        <v>31.988838962873572</v>
      </c>
      <c r="O330" s="72">
        <f t="shared" si="57"/>
        <v>78.105261114236157</v>
      </c>
      <c r="P330" s="73">
        <f t="shared" si="58"/>
        <v>6.0900389825714036</v>
      </c>
      <c r="Q330" s="74">
        <f t="shared" si="59"/>
        <v>-8.5971811041172543</v>
      </c>
      <c r="R330" s="87">
        <f t="shared" si="80"/>
        <v>0.11921061497270057</v>
      </c>
      <c r="S330" s="72">
        <f t="shared" si="81"/>
        <v>9.2152712003042269E-3</v>
      </c>
      <c r="T330" s="88">
        <f t="shared" si="82"/>
        <v>105.25928771316148</v>
      </c>
      <c r="U330" s="88">
        <f t="shared" si="83"/>
        <v>59.185922898628341</v>
      </c>
      <c r="V330" s="89">
        <f t="shared" si="64"/>
        <v>105.30234504999092</v>
      </c>
      <c r="W330" s="125">
        <f t="shared" si="65"/>
        <v>86.116886737420003</v>
      </c>
    </row>
    <row r="331" spans="3:23" x14ac:dyDescent="0.2">
      <c r="C331" s="90">
        <v>436.5</v>
      </c>
      <c r="D331" s="91">
        <f t="shared" si="70"/>
        <v>2742.6103865838895</v>
      </c>
      <c r="E331" s="92" t="str">
        <f t="shared" si="71"/>
        <v>2742.61038658389i</v>
      </c>
      <c r="F331" s="93" t="str">
        <f t="shared" si="72"/>
        <v>5.83008315757798+0.0575135286839837i</v>
      </c>
      <c r="G331" s="94" t="str">
        <f t="shared" si="73"/>
        <v>-4.90157671724996E-06-8.40565963679707E-07i</v>
      </c>
      <c r="H331" s="94" t="str">
        <f t="shared" si="74"/>
        <v>0.00230534494259686-0.0134431152153675i</v>
      </c>
      <c r="I331" s="95">
        <f t="shared" si="75"/>
        <v>4.9731283368101105E-3</v>
      </c>
      <c r="J331" s="96">
        <f t="shared" si="53"/>
        <v>0</v>
      </c>
      <c r="K331" s="94" t="str">
        <f t="shared" si="76"/>
        <v>0.0000671390924282075-0.000369584162114342i</v>
      </c>
      <c r="L331" s="97">
        <f t="shared" si="77"/>
        <v>3.7563294666182259E-4</v>
      </c>
      <c r="M331" s="98">
        <f t="shared" si="78"/>
        <v>78.064118358730667</v>
      </c>
      <c r="N331" s="98">
        <f t="shared" si="79"/>
        <v>31.590301963699801</v>
      </c>
      <c r="O331" s="98">
        <f t="shared" si="57"/>
        <v>78.105240337146242</v>
      </c>
      <c r="P331" s="73">
        <f t="shared" si="58"/>
        <v>6.0859504587826283</v>
      </c>
      <c r="Q331" s="74">
        <f t="shared" si="59"/>
        <v>-8.4027421166366079</v>
      </c>
      <c r="R331" s="99">
        <f t="shared" si="80"/>
        <v>0.1138895464909791</v>
      </c>
      <c r="S331" s="98">
        <f t="shared" si="81"/>
        <v>8.6023651603219457E-3</v>
      </c>
      <c r="T331" s="100">
        <f t="shared" si="82"/>
        <v>105.26120229448543</v>
      </c>
      <c r="U331" s="100">
        <f t="shared" si="83"/>
        <v>58.78738589945457</v>
      </c>
      <c r="V331" s="101">
        <f t="shared" si="64"/>
        <v>105.30232427290102</v>
      </c>
      <c r="W331" s="125">
        <f t="shared" si="65"/>
        <v>86.174739811056682</v>
      </c>
    </row>
    <row r="332" spans="3:23" x14ac:dyDescent="0.2">
      <c r="C332" s="90">
        <v>446.7</v>
      </c>
      <c r="D332" s="81">
        <f t="shared" si="70"/>
        <v>2806.698876717121</v>
      </c>
      <c r="E332" s="82" t="str">
        <f t="shared" si="71"/>
        <v>2806.69887671712i</v>
      </c>
      <c r="F332" s="83" t="str">
        <f t="shared" si="72"/>
        <v>5.8288600630443+0.0561764309631866i</v>
      </c>
      <c r="G332" s="84" t="str">
        <f t="shared" si="73"/>
        <v>-4.68435845086597E-06-7.84612018091884E-07i</v>
      </c>
      <c r="H332" s="84" t="str">
        <f t="shared" si="74"/>
        <v>0.00220216966983724-0.0131475836021859i</v>
      </c>
      <c r="I332" s="85">
        <f t="shared" si="75"/>
        <v>4.7496136806201043E-3</v>
      </c>
      <c r="J332" s="70">
        <f t="shared" si="53"/>
        <v>0</v>
      </c>
      <c r="K332" s="84" t="str">
        <f t="shared" si="76"/>
        <v>0.0000612268034226487-0.000345094899880928i</v>
      </c>
      <c r="L332" s="86">
        <f t="shared" si="77"/>
        <v>3.5048425268645583E-4</v>
      </c>
      <c r="M332" s="72">
        <f t="shared" si="78"/>
        <v>78.065958936808343</v>
      </c>
      <c r="N332" s="72">
        <f t="shared" si="79"/>
        <v>31.189032706443626</v>
      </c>
      <c r="O332" s="72">
        <f t="shared" si="57"/>
        <v>78.105220357672479</v>
      </c>
      <c r="P332" s="73">
        <f t="shared" si="58"/>
        <v>6.0820236634220048</v>
      </c>
      <c r="Q332" s="74">
        <f t="shared" si="59"/>
        <v>-8.2113875885660637</v>
      </c>
      <c r="R332" s="87">
        <f t="shared" si="80"/>
        <v>0.10877084029569618</v>
      </c>
      <c r="S332" s="72">
        <f t="shared" si="81"/>
        <v>8.0264352510745016E-3</v>
      </c>
      <c r="T332" s="88">
        <f t="shared" si="82"/>
        <v>105.26304287256312</v>
      </c>
      <c r="U332" s="88">
        <f t="shared" si="83"/>
        <v>58.386116642198395</v>
      </c>
      <c r="V332" s="89">
        <f t="shared" si="64"/>
        <v>105.30230429342726</v>
      </c>
      <c r="W332" s="125">
        <f t="shared" si="65"/>
        <v>86.230377636099647</v>
      </c>
    </row>
    <row r="333" spans="3:23" x14ac:dyDescent="0.2">
      <c r="C333" s="90">
        <v>457.1</v>
      </c>
      <c r="D333" s="91">
        <f t="shared" si="70"/>
        <v>2872.0440039117889</v>
      </c>
      <c r="E333" s="92" t="str">
        <f t="shared" si="71"/>
        <v>2872.04400391179i</v>
      </c>
      <c r="F333" s="93" t="str">
        <f t="shared" si="72"/>
        <v>5.82769679837118+0.0548761561660504i</v>
      </c>
      <c r="G333" s="94" t="str">
        <f t="shared" si="73"/>
        <v>-0.0000044773270552384-7.32552466379363E-07i</v>
      </c>
      <c r="H333" s="94" t="str">
        <f t="shared" si="74"/>
        <v>0.00210392291861564-0.0128590803225495i</v>
      </c>
      <c r="I333" s="95">
        <f t="shared" si="75"/>
        <v>4.5368591200926926E-3</v>
      </c>
      <c r="J333" s="96">
        <f t="shared" si="53"/>
        <v>0</v>
      </c>
      <c r="K333" s="94" t="str">
        <f t="shared" si="76"/>
        <v>0.0000558533104299515-0.000322297775814495i</v>
      </c>
      <c r="L333" s="97">
        <f t="shared" si="77"/>
        <v>3.2710158755492919E-4</v>
      </c>
      <c r="M333" s="98">
        <f t="shared" si="78"/>
        <v>78.067709825244236</v>
      </c>
      <c r="N333" s="98">
        <f t="shared" si="79"/>
        <v>30.789220925084948</v>
      </c>
      <c r="O333" s="98">
        <f t="shared" si="57"/>
        <v>78.105201346806339</v>
      </c>
      <c r="P333" s="73">
        <f t="shared" si="58"/>
        <v>6.0782915763557384</v>
      </c>
      <c r="Q333" s="74">
        <f t="shared" si="59"/>
        <v>-8.0250388252872789</v>
      </c>
      <c r="R333" s="99">
        <f t="shared" si="80"/>
        <v>0.1038985509093546</v>
      </c>
      <c r="S333" s="98">
        <f t="shared" si="81"/>
        <v>7.4909491451019897E-3</v>
      </c>
      <c r="T333" s="100">
        <f t="shared" si="82"/>
        <v>105.264793760999</v>
      </c>
      <c r="U333" s="100">
        <f t="shared" si="83"/>
        <v>57.986304860839716</v>
      </c>
      <c r="V333" s="101">
        <f t="shared" si="64"/>
        <v>105.30228528256112</v>
      </c>
      <c r="W333" s="125">
        <f t="shared" si="65"/>
        <v>86.283323315498677</v>
      </c>
    </row>
    <row r="334" spans="3:23" x14ac:dyDescent="0.2">
      <c r="C334" s="90">
        <v>467.7</v>
      </c>
      <c r="D334" s="81">
        <f t="shared" si="70"/>
        <v>2938.6457681678926</v>
      </c>
      <c r="E334" s="82" t="str">
        <f t="shared" si="71"/>
        <v>2938.64576816789i</v>
      </c>
      <c r="F334" s="83" t="str">
        <f t="shared" si="72"/>
        <v>5.82659053581173+0.0536118626559319i</v>
      </c>
      <c r="G334" s="84" t="str">
        <f t="shared" si="73"/>
        <v>-4.28004313672258E-06-6.84118914030567E-07i</v>
      </c>
      <c r="H334" s="84" t="str">
        <f t="shared" si="74"/>
        <v>0.00201038315163954-0.0125775306513058i</v>
      </c>
      <c r="I334" s="85">
        <f t="shared" si="75"/>
        <v>4.3343728428390221E-3</v>
      </c>
      <c r="J334" s="70">
        <f t="shared" si="53"/>
        <v>0</v>
      </c>
      <c r="K334" s="84" t="str">
        <f t="shared" si="76"/>
        <v>0.0000509692702412681-0.000301077608388497i</v>
      </c>
      <c r="L334" s="86">
        <f t="shared" si="77"/>
        <v>3.0536141338070947E-4</v>
      </c>
      <c r="M334" s="72">
        <f t="shared" si="78"/>
        <v>78.069375229562368</v>
      </c>
      <c r="N334" s="72">
        <f t="shared" si="79"/>
        <v>30.39097400075984</v>
      </c>
      <c r="O334" s="72">
        <f t="shared" si="57"/>
        <v>78.105183259615274</v>
      </c>
      <c r="P334" s="73">
        <f t="shared" si="58"/>
        <v>6.0747447377056405</v>
      </c>
      <c r="Q334" s="74">
        <f t="shared" si="59"/>
        <v>-7.8436021694692677</v>
      </c>
      <c r="R334" s="87">
        <f t="shared" si="80"/>
        <v>9.926141534291974E-2</v>
      </c>
      <c r="S334" s="72">
        <f t="shared" si="81"/>
        <v>6.9930777028932543E-3</v>
      </c>
      <c r="T334" s="88">
        <f t="shared" si="82"/>
        <v>105.26645916531714</v>
      </c>
      <c r="U334" s="88">
        <f t="shared" si="83"/>
        <v>57.588057936514609</v>
      </c>
      <c r="V334" s="89">
        <f t="shared" si="64"/>
        <v>105.30226719537004</v>
      </c>
      <c r="W334" s="125">
        <f t="shared" si="65"/>
        <v>86.333701239050711</v>
      </c>
    </row>
    <row r="335" spans="3:23" x14ac:dyDescent="0.2">
      <c r="C335" s="90">
        <v>478.6</v>
      </c>
      <c r="D335" s="91">
        <f t="shared" si="70"/>
        <v>3007.1324880161501</v>
      </c>
      <c r="E335" s="92" t="str">
        <f t="shared" si="71"/>
        <v>3007.13248801615i</v>
      </c>
      <c r="F335" s="93" t="str">
        <f t="shared" si="72"/>
        <v>5.82552913646378+0.0523715783457009i</v>
      </c>
      <c r="G335" s="94" t="str">
        <f t="shared" si="73"/>
        <v>-4.09039508877503E-06-6.38661037299145E-07i</v>
      </c>
      <c r="H335" s="94" t="str">
        <f t="shared" si="74"/>
        <v>0.00192053835409235-0.0123003599602771i</v>
      </c>
      <c r="I335" s="95">
        <f t="shared" si="75"/>
        <v>4.1399540942912523E-3</v>
      </c>
      <c r="J335" s="96">
        <f t="shared" si="53"/>
        <v>0</v>
      </c>
      <c r="K335" s="94" t="str">
        <f t="shared" si="76"/>
        <v>0.0000464908849459804-0.000281151422729156i</v>
      </c>
      <c r="L335" s="97">
        <f t="shared" si="77"/>
        <v>2.8496934025555966E-4</v>
      </c>
      <c r="M335" s="98">
        <f t="shared" si="78"/>
        <v>78.070973381930642</v>
      </c>
      <c r="N335" s="98">
        <f t="shared" si="79"/>
        <v>29.990760084975676</v>
      </c>
      <c r="O335" s="98">
        <f t="shared" si="57"/>
        <v>78.105165898695304</v>
      </c>
      <c r="P335" s="73">
        <f t="shared" si="58"/>
        <v>6.0713439062479324</v>
      </c>
      <c r="Q335" s="74">
        <f t="shared" si="59"/>
        <v>-7.6653815408537156</v>
      </c>
      <c r="R335" s="99">
        <f t="shared" si="80"/>
        <v>9.4809034145041424E-2</v>
      </c>
      <c r="S335" s="98">
        <f t="shared" si="81"/>
        <v>6.5260791050400831E-3</v>
      </c>
      <c r="T335" s="100">
        <f t="shared" si="82"/>
        <v>105.26805731768542</v>
      </c>
      <c r="U335" s="100">
        <f t="shared" si="83"/>
        <v>57.187844020730445</v>
      </c>
      <c r="V335" s="101">
        <f t="shared" si="64"/>
        <v>105.30224983445007</v>
      </c>
      <c r="W335" s="125">
        <f t="shared" si="65"/>
        <v>86.38206060916184</v>
      </c>
    </row>
    <row r="336" spans="3:23" x14ac:dyDescent="0.2">
      <c r="C336" s="90">
        <v>489.8</v>
      </c>
      <c r="D336" s="81">
        <f t="shared" si="70"/>
        <v>3077.5041634565614</v>
      </c>
      <c r="E336" s="82" t="str">
        <f t="shared" si="71"/>
        <v>3077.50416345656i</v>
      </c>
      <c r="F336" s="83" t="str">
        <f t="shared" si="72"/>
        <v>5.82451185339197+0.0511559656204626i</v>
      </c>
      <c r="G336" s="84" t="str">
        <f t="shared" si="73"/>
        <v>-3.90829390128431E-06-5.96047065279223E-07i</v>
      </c>
      <c r="H336" s="84" t="str">
        <f t="shared" si="74"/>
        <v>0.00183433732501287-0.0120277907532143i</v>
      </c>
      <c r="I336" s="85">
        <f t="shared" si="75"/>
        <v>3.953483694521088E-3</v>
      </c>
      <c r="J336" s="70">
        <f t="shared" si="53"/>
        <v>0</v>
      </c>
      <c r="K336" s="84" t="str">
        <f t="shared" si="76"/>
        <v>0.0000423897466196337-0.000262463088423072i</v>
      </c>
      <c r="L336" s="86">
        <f t="shared" si="77"/>
        <v>2.6586418224923425E-4</v>
      </c>
      <c r="M336" s="72">
        <f t="shared" si="78"/>
        <v>78.072505371808205</v>
      </c>
      <c r="N336" s="72">
        <f t="shared" si="79"/>
        <v>29.588915721513708</v>
      </c>
      <c r="O336" s="72">
        <f t="shared" si="57"/>
        <v>78.105149252718292</v>
      </c>
      <c r="P336" s="73">
        <f t="shared" si="58"/>
        <v>6.0680864198270612</v>
      </c>
      <c r="Q336" s="74">
        <f t="shared" si="59"/>
        <v>-7.4904900458088717</v>
      </c>
      <c r="R336" s="87">
        <f t="shared" si="80"/>
        <v>9.0538677977752655E-2</v>
      </c>
      <c r="S336" s="72">
        <f t="shared" si="81"/>
        <v>6.0885521333604092E-3</v>
      </c>
      <c r="T336" s="88">
        <f t="shared" si="82"/>
        <v>105.26958930756297</v>
      </c>
      <c r="U336" s="88">
        <f t="shared" si="83"/>
        <v>56.785999657268476</v>
      </c>
      <c r="V336" s="89">
        <f t="shared" si="64"/>
        <v>105.30223318847305</v>
      </c>
      <c r="W336" s="125">
        <f t="shared" si="65"/>
        <v>86.428432458534516</v>
      </c>
    </row>
    <row r="337" spans="3:23" x14ac:dyDescent="0.2">
      <c r="C337" s="90">
        <v>501.2</v>
      </c>
      <c r="D337" s="91">
        <f t="shared" si="70"/>
        <v>3149.1324759584086</v>
      </c>
      <c r="E337" s="92" t="str">
        <f t="shared" si="71"/>
        <v>3149.13247595841i</v>
      </c>
      <c r="F337" s="93" t="str">
        <f t="shared" si="72"/>
        <v>5.82354596692134+0.0499756483100818i</v>
      </c>
      <c r="G337" s="94" t="str">
        <f t="shared" si="73"/>
        <v>-3.73508855907881E-06-5.56473681483704E-07i</v>
      </c>
      <c r="H337" s="94" t="str">
        <f t="shared" si="74"/>
        <v>0.00175240934237647-0.0117622886819758i</v>
      </c>
      <c r="I337" s="95">
        <f t="shared" si="75"/>
        <v>3.7763142748380267E-3</v>
      </c>
      <c r="J337" s="96">
        <f t="shared" si="53"/>
        <v>0</v>
      </c>
      <c r="K337" s="94" t="str">
        <f t="shared" si="76"/>
        <v>0.0000386691968191564-0.000245100449744338i</v>
      </c>
      <c r="L337" s="97">
        <f t="shared" si="77"/>
        <v>2.4813209636706697E-4</v>
      </c>
      <c r="M337" s="98">
        <f t="shared" si="78"/>
        <v>78.073960199147947</v>
      </c>
      <c r="N337" s="98">
        <f t="shared" si="79"/>
        <v>29.189223601797138</v>
      </c>
      <c r="O337" s="98">
        <f t="shared" si="57"/>
        <v>78.105133441726565</v>
      </c>
      <c r="P337" s="73">
        <f t="shared" si="58"/>
        <v>6.0649953156775105</v>
      </c>
      <c r="Q337" s="74">
        <f t="shared" si="59"/>
        <v>-7.3204761662811757</v>
      </c>
      <c r="R337" s="99">
        <f t="shared" si="80"/>
        <v>8.6481323432843343E-2</v>
      </c>
      <c r="S337" s="98">
        <f t="shared" si="81"/>
        <v>5.6824698682977539E-3</v>
      </c>
      <c r="T337" s="100">
        <f t="shared" si="82"/>
        <v>105.27104413490272</v>
      </c>
      <c r="U337" s="100">
        <f t="shared" si="83"/>
        <v>56.386307537551907</v>
      </c>
      <c r="V337" s="101">
        <f t="shared" si="64"/>
        <v>105.30221737748133</v>
      </c>
      <c r="W337" s="125">
        <f t="shared" si="65"/>
        <v>86.472481839004971</v>
      </c>
    </row>
    <row r="338" spans="3:23" x14ac:dyDescent="0.2">
      <c r="C338" s="90">
        <v>512.9</v>
      </c>
      <c r="D338" s="81">
        <f t="shared" si="70"/>
        <v>3222.6457440524096</v>
      </c>
      <c r="E338" s="82" t="str">
        <f t="shared" si="71"/>
        <v>3222.64574405241i</v>
      </c>
      <c r="F338" s="83" t="str">
        <f t="shared" si="72"/>
        <v>5.82262116567221+0.048819957999849i</v>
      </c>
      <c r="G338" s="84" t="str">
        <f t="shared" si="73"/>
        <v>-3.56897239095187E-06-5.19415215681352E-07i</v>
      </c>
      <c r="H338" s="84" t="str">
        <f t="shared" si="74"/>
        <v>0.00167389123421157-0.0115015336863416i</v>
      </c>
      <c r="I338" s="85">
        <f t="shared" si="75"/>
        <v>3.6065712378459975E-3</v>
      </c>
      <c r="J338" s="70">
        <f t="shared" si="53"/>
        <v>0</v>
      </c>
      <c r="K338" s="84" t="str">
        <f t="shared" si="76"/>
        <v>0.0000352654108472802-0.000228834303710726i</v>
      </c>
      <c r="L338" s="86">
        <f t="shared" si="77"/>
        <v>2.3153571594248748E-4</v>
      </c>
      <c r="M338" s="72">
        <f t="shared" si="78"/>
        <v>78.075353361595532</v>
      </c>
      <c r="N338" s="72">
        <f t="shared" si="79"/>
        <v>28.788357309278766</v>
      </c>
      <c r="O338" s="72">
        <f t="shared" si="57"/>
        <v>78.105118297773259</v>
      </c>
      <c r="P338" s="73">
        <f t="shared" si="58"/>
        <v>6.0620373401091898</v>
      </c>
      <c r="Q338" s="74">
        <f t="shared" si="59"/>
        <v>-7.1538222807940244</v>
      </c>
      <c r="R338" s="87">
        <f t="shared" si="80"/>
        <v>8.2594040380054939E-2</v>
      </c>
      <c r="S338" s="72">
        <f t="shared" si="81"/>
        <v>5.3023963789496963E-3</v>
      </c>
      <c r="T338" s="88">
        <f t="shared" si="82"/>
        <v>105.27243729735031</v>
      </c>
      <c r="U338" s="88">
        <f t="shared" si="83"/>
        <v>55.985441245033535</v>
      </c>
      <c r="V338" s="89">
        <f t="shared" si="64"/>
        <v>105.30220223352802</v>
      </c>
      <c r="W338" s="125">
        <f t="shared" si="65"/>
        <v>86.514676149970356</v>
      </c>
    </row>
    <row r="339" spans="3:23" x14ac:dyDescent="0.2">
      <c r="C339" s="90">
        <v>524.79999999999995</v>
      </c>
      <c r="D339" s="91">
        <f t="shared" si="70"/>
        <v>3297.4156492078464</v>
      </c>
      <c r="E339" s="92" t="str">
        <f t="shared" si="71"/>
        <v>3297.41564920785i</v>
      </c>
      <c r="F339" s="93" t="str">
        <f t="shared" si="72"/>
        <v>5.8217435518472+0.0476984172734384i</v>
      </c>
      <c r="G339" s="94" t="str">
        <f t="shared" si="73"/>
        <v>-3.41108008411411E-06-4.85019690148125E-07i</v>
      </c>
      <c r="H339" s="94" t="str">
        <f t="shared" si="74"/>
        <v>0.00159931151646837-0.0112477488500591i</v>
      </c>
      <c r="I339" s="95">
        <f t="shared" si="75"/>
        <v>3.4453898821572154E-3</v>
      </c>
      <c r="J339" s="96">
        <f t="shared" si="53"/>
        <v>0</v>
      </c>
      <c r="K339" s="94" t="str">
        <f t="shared" si="76"/>
        <v>0.0000321789005923152-0.000213730892261037i</v>
      </c>
      <c r="L339" s="97">
        <f t="shared" si="77"/>
        <v>2.1613971395842345E-4</v>
      </c>
      <c r="M339" s="98">
        <f t="shared" si="78"/>
        <v>78.076675636107296</v>
      </c>
      <c r="N339" s="98">
        <f t="shared" si="79"/>
        <v>28.389911435595806</v>
      </c>
      <c r="O339" s="98">
        <f t="shared" si="57"/>
        <v>78.10510392155193</v>
      </c>
      <c r="P339" s="73">
        <f t="shared" si="58"/>
        <v>6.059231780073806</v>
      </c>
      <c r="Q339" s="74">
        <f t="shared" si="59"/>
        <v>-6.9919193705393061</v>
      </c>
      <c r="R339" s="99">
        <f t="shared" si="80"/>
        <v>7.8902828277941539E-2</v>
      </c>
      <c r="S339" s="98">
        <f t="shared" si="81"/>
        <v>4.9498127404458145E-3</v>
      </c>
      <c r="T339" s="100">
        <f t="shared" si="82"/>
        <v>105.27375957186206</v>
      </c>
      <c r="U339" s="100">
        <f t="shared" si="83"/>
        <v>55.586995371350575</v>
      </c>
      <c r="V339" s="101">
        <f t="shared" si="64"/>
        <v>105.30218785730671</v>
      </c>
      <c r="W339" s="125">
        <f t="shared" si="65"/>
        <v>86.554734382876802</v>
      </c>
    </row>
    <row r="340" spans="3:23" x14ac:dyDescent="0.2">
      <c r="C340" s="90">
        <v>537</v>
      </c>
      <c r="D340" s="81">
        <f t="shared" si="70"/>
        <v>3374.070509955438</v>
      </c>
      <c r="E340" s="82" t="str">
        <f t="shared" si="71"/>
        <v>3374.07050995544i</v>
      </c>
      <c r="F340" s="83" t="str">
        <f t="shared" si="72"/>
        <v>5.82090393973094+0.0466011800870283i</v>
      </c>
      <c r="G340" s="84" t="str">
        <f t="shared" si="73"/>
        <v>-3.25979462893197E-06-4.52835586464737E-07i</v>
      </c>
      <c r="H340" s="84" t="str">
        <f t="shared" si="74"/>
        <v>0.00152789919814905-0.0109987769259905i</v>
      </c>
      <c r="I340" s="85">
        <f t="shared" si="75"/>
        <v>3.2910972472995357E-3</v>
      </c>
      <c r="J340" s="70">
        <f t="shared" si="53"/>
        <v>0</v>
      </c>
      <c r="K340" s="84" t="str">
        <f t="shared" si="76"/>
        <v>0.0000293571063521198-0.000199593090212641i</v>
      </c>
      <c r="L340" s="86">
        <f t="shared" si="77"/>
        <v>2.0174052977525641E-4</v>
      </c>
      <c r="M340" s="72">
        <f t="shared" si="78"/>
        <v>78.077940834504318</v>
      </c>
      <c r="N340" s="72">
        <f t="shared" si="79"/>
        <v>27.990692313808324</v>
      </c>
      <c r="O340" s="72">
        <f t="shared" si="57"/>
        <v>78.1050901632983</v>
      </c>
      <c r="P340" s="73">
        <f t="shared" si="58"/>
        <v>6.0565490581459116</v>
      </c>
      <c r="Q340" s="74">
        <f t="shared" si="59"/>
        <v>-6.8333629473439776</v>
      </c>
      <c r="R340" s="87">
        <f t="shared" si="80"/>
        <v>7.536937468078167E-2</v>
      </c>
      <c r="S340" s="72">
        <f t="shared" si="81"/>
        <v>4.6200572132613187E-3</v>
      </c>
      <c r="T340" s="88">
        <f t="shared" si="82"/>
        <v>105.27502477025908</v>
      </c>
      <c r="U340" s="88">
        <f t="shared" si="83"/>
        <v>55.187776249563093</v>
      </c>
      <c r="V340" s="89">
        <f t="shared" si="64"/>
        <v>105.30217409905308</v>
      </c>
      <c r="W340" s="125">
        <f t="shared" si="65"/>
        <v>86.593073424080416</v>
      </c>
    </row>
    <row r="341" spans="3:23" x14ac:dyDescent="0.2">
      <c r="C341" s="90">
        <v>549.5</v>
      </c>
      <c r="D341" s="91">
        <f t="shared" si="70"/>
        <v>3452.6103262951829</v>
      </c>
      <c r="E341" s="92" t="str">
        <f t="shared" si="71"/>
        <v>3452.61032629518i</v>
      </c>
      <c r="F341" s="93" t="str">
        <f t="shared" si="72"/>
        <v>5.82010124901372+0.0455284074383838i</v>
      </c>
      <c r="G341" s="94" t="str">
        <f t="shared" si="73"/>
        <v>-3.11495125964564E-06-4.22744047308229E-07i</v>
      </c>
      <c r="H341" s="94" t="str">
        <f t="shared" si="74"/>
        <v>0.00145957046311621-0.0107547128849587i</v>
      </c>
      <c r="I341" s="95">
        <f t="shared" si="75"/>
        <v>3.1435066215140216E-3</v>
      </c>
      <c r="J341" s="96">
        <f t="shared" si="53"/>
        <v>0</v>
      </c>
      <c r="K341" s="94" t="str">
        <f t="shared" si="76"/>
        <v>0.0000267793901245782-0.000186369639959637i</v>
      </c>
      <c r="L341" s="97">
        <f t="shared" si="77"/>
        <v>1.8828377103226153E-4</v>
      </c>
      <c r="M341" s="98">
        <f t="shared" si="78"/>
        <v>78.079150561177059</v>
      </c>
      <c r="N341" s="98">
        <f t="shared" si="79"/>
        <v>27.590955155134999</v>
      </c>
      <c r="O341" s="98">
        <f t="shared" si="57"/>
        <v>78.105077005903112</v>
      </c>
      <c r="P341" s="73">
        <f t="shared" si="58"/>
        <v>6.0539855443801418</v>
      </c>
      <c r="Q341" s="74">
        <f t="shared" si="59"/>
        <v>-6.6781902040948893</v>
      </c>
      <c r="R341" s="99">
        <f t="shared" si="80"/>
        <v>7.1989403705044946E-2</v>
      </c>
      <c r="S341" s="98">
        <f t="shared" si="81"/>
        <v>4.3118841586601894E-3</v>
      </c>
      <c r="T341" s="100">
        <f t="shared" si="82"/>
        <v>105.27623449693183</v>
      </c>
      <c r="U341" s="100">
        <f t="shared" si="83"/>
        <v>54.788039090889768</v>
      </c>
      <c r="V341" s="101">
        <f t="shared" si="64"/>
        <v>105.30216094165789</v>
      </c>
      <c r="W341" s="125">
        <f t="shared" si="65"/>
        <v>86.629740597154353</v>
      </c>
    </row>
    <row r="342" spans="3:23" x14ac:dyDescent="0.2">
      <c r="C342" s="90">
        <v>562.29999999999995</v>
      </c>
      <c r="D342" s="81">
        <f t="shared" si="70"/>
        <v>3533.0350982270811</v>
      </c>
      <c r="E342" s="82" t="str">
        <f t="shared" si="71"/>
        <v>3533.03509822708i</v>
      </c>
      <c r="F342" s="83" t="str">
        <f t="shared" si="72"/>
        <v>5.81933434162046+0.0444801669957261i</v>
      </c>
      <c r="G342" s="84" t="str">
        <f t="shared" si="73"/>
        <v>-2.97637238846605E-06-3.94628382998197E-07i</v>
      </c>
      <c r="H342" s="84" t="str">
        <f t="shared" si="74"/>
        <v>0.00139423592788923-0.0105156281138445i</v>
      </c>
      <c r="I342" s="85">
        <f t="shared" si="75"/>
        <v>3.0024197167436246E-3</v>
      </c>
      <c r="J342" s="70">
        <f t="shared" si="53"/>
        <v>0</v>
      </c>
      <c r="K342" s="84" t="str">
        <f t="shared" si="76"/>
        <v>0.0000244262894842704-0.000174010125531878i</v>
      </c>
      <c r="L342" s="86">
        <f t="shared" si="77"/>
        <v>1.7571615578992534E-4</v>
      </c>
      <c r="M342" s="72">
        <f t="shared" si="78"/>
        <v>78.080306509484743</v>
      </c>
      <c r="N342" s="72">
        <f t="shared" si="79"/>
        <v>27.190939000173856</v>
      </c>
      <c r="O342" s="72">
        <f t="shared" si="57"/>
        <v>78.105064431262306</v>
      </c>
      <c r="P342" s="73">
        <f t="shared" si="58"/>
        <v>6.0515374390406729</v>
      </c>
      <c r="Q342" s="74">
        <f t="shared" si="59"/>
        <v>-6.5264242512412505</v>
      </c>
      <c r="R342" s="87">
        <f t="shared" si="80"/>
        <v>6.875837435855052E-2</v>
      </c>
      <c r="S342" s="72">
        <f t="shared" si="81"/>
        <v>4.0240733676479333E-3</v>
      </c>
      <c r="T342" s="88">
        <f t="shared" si="82"/>
        <v>105.27739044523952</v>
      </c>
      <c r="U342" s="88">
        <f t="shared" si="83"/>
        <v>54.388022935928625</v>
      </c>
      <c r="V342" s="89">
        <f t="shared" si="64"/>
        <v>105.30214836701708</v>
      </c>
      <c r="W342" s="125">
        <f t="shared" si="65"/>
        <v>86.664786026956165</v>
      </c>
    </row>
    <row r="343" spans="3:23" x14ac:dyDescent="0.2">
      <c r="C343" s="90">
        <v>575.4</v>
      </c>
      <c r="D343" s="91">
        <f t="shared" si="70"/>
        <v>3615.3448257511336</v>
      </c>
      <c r="E343" s="92" t="str">
        <f t="shared" si="71"/>
        <v>3615.34482575113i</v>
      </c>
      <c r="F343" s="93" t="str">
        <f t="shared" si="72"/>
        <v>5.81860203741873+0.0434564431189899i</v>
      </c>
      <c r="G343" s="94" t="str">
        <f t="shared" si="73"/>
        <v>-2.84387049783406E-06-3.68374818770786E-07i</v>
      </c>
      <c r="H343" s="94" t="str">
        <f t="shared" si="74"/>
        <v>0.00133180199497997-0.0102815724894507i</v>
      </c>
      <c r="I343" s="95">
        <f t="shared" si="75"/>
        <v>2.8676295813014887E-3</v>
      </c>
      <c r="J343" s="96">
        <f t="shared" si="53"/>
        <v>0</v>
      </c>
      <c r="K343" s="94" t="str">
        <f t="shared" si="76"/>
        <v>0.0000222795359790252-0.000162465309322866i</v>
      </c>
      <c r="L343" s="97">
        <f t="shared" si="77"/>
        <v>1.6398583614695266E-4</v>
      </c>
      <c r="M343" s="98">
        <f t="shared" si="78"/>
        <v>78.081410438030247</v>
      </c>
      <c r="N343" s="98">
        <f t="shared" si="79"/>
        <v>26.790867383751667</v>
      </c>
      <c r="O343" s="98">
        <f t="shared" si="57"/>
        <v>78.105052420535245</v>
      </c>
      <c r="P343" s="73">
        <f t="shared" si="58"/>
        <v>6.0492008223361982</v>
      </c>
      <c r="Q343" s="74">
        <f t="shared" si="59"/>
        <v>-6.3780755209186566</v>
      </c>
      <c r="R343" s="99">
        <f t="shared" si="80"/>
        <v>6.5671547243445524E-2</v>
      </c>
      <c r="S343" s="98">
        <f t="shared" si="81"/>
        <v>3.7554374721203909E-3</v>
      </c>
      <c r="T343" s="100">
        <f t="shared" si="82"/>
        <v>105.27849437378501</v>
      </c>
      <c r="U343" s="100">
        <f t="shared" si="83"/>
        <v>53.987951319506436</v>
      </c>
      <c r="V343" s="101">
        <f t="shared" si="64"/>
        <v>105.30213635629002</v>
      </c>
      <c r="W343" s="125">
        <f t="shared" si="65"/>
        <v>86.698261917849464</v>
      </c>
    </row>
    <row r="344" spans="3:23" x14ac:dyDescent="0.2">
      <c r="C344" s="90">
        <v>588.79999999999995</v>
      </c>
      <c r="D344" s="81">
        <f t="shared" si="70"/>
        <v>3699.5395088673399</v>
      </c>
      <c r="E344" s="82" t="str">
        <f t="shared" si="71"/>
        <v>3699.53950886734i</v>
      </c>
      <c r="F344" s="83" t="str">
        <f t="shared" si="72"/>
        <v>5.81790312800382+0.0424571461973891i</v>
      </c>
      <c r="G344" s="84" t="str">
        <f t="shared" si="73"/>
        <v>-2.71725071151766E-06-3.43873081058152E-07i</v>
      </c>
      <c r="H344" s="84" t="str">
        <f t="shared" si="74"/>
        <v>0.00127217204941057-0.0100525763627575i</v>
      </c>
      <c r="I344" s="85">
        <f t="shared" si="75"/>
        <v>2.7389231688967944E-3</v>
      </c>
      <c r="J344" s="70">
        <f t="shared" si="53"/>
        <v>0</v>
      </c>
      <c r="K344" s="84" t="str">
        <f t="shared" si="76"/>
        <v>0.0000203220524776781-0.000151687398246734i</v>
      </c>
      <c r="L344" s="86">
        <f t="shared" si="77"/>
        <v>1.5304264962345883E-4</v>
      </c>
      <c r="M344" s="72">
        <f t="shared" si="78"/>
        <v>78.082464149814925</v>
      </c>
      <c r="N344" s="72">
        <f t="shared" si="79"/>
        <v>26.390949007456804</v>
      </c>
      <c r="O344" s="72">
        <f t="shared" si="57"/>
        <v>78.105040954372583</v>
      </c>
      <c r="P344" s="73">
        <f t="shared" si="58"/>
        <v>6.0469716978681918</v>
      </c>
      <c r="Q344" s="74">
        <f t="shared" si="59"/>
        <v>-6.233143087600804</v>
      </c>
      <c r="R344" s="87">
        <f t="shared" si="80"/>
        <v>6.2724043389432022E-2</v>
      </c>
      <c r="S344" s="72">
        <f t="shared" si="81"/>
        <v>3.5048277017869101E-3</v>
      </c>
      <c r="T344" s="88">
        <f t="shared" si="82"/>
        <v>105.2795480855697</v>
      </c>
      <c r="U344" s="88">
        <f t="shared" si="83"/>
        <v>53.588032943211573</v>
      </c>
      <c r="V344" s="89">
        <f t="shared" si="64"/>
        <v>105.30212489012735</v>
      </c>
      <c r="W344" s="125">
        <f t="shared" si="65"/>
        <v>86.73022191809936</v>
      </c>
    </row>
    <row r="345" spans="3:23" x14ac:dyDescent="0.2">
      <c r="C345" s="90">
        <v>602.6</v>
      </c>
      <c r="D345" s="91">
        <f t="shared" si="70"/>
        <v>3786.2474661064189</v>
      </c>
      <c r="E345" s="92" t="str">
        <f t="shared" si="71"/>
        <v>3786.24746610642i</v>
      </c>
      <c r="F345" s="93" t="str">
        <f t="shared" si="72"/>
        <v>5.81723168904891+0.0414751697348866i</v>
      </c>
      <c r="G345" s="94" t="str">
        <f t="shared" si="73"/>
        <v>-2.59546010231399E-06-0.0000003208575611102i</v>
      </c>
      <c r="H345" s="94" t="str">
        <f t="shared" si="74"/>
        <v>0.00121484612773458-0.00982705423576665i</v>
      </c>
      <c r="I345" s="95">
        <f t="shared" si="75"/>
        <v>2.615217527706889E-3</v>
      </c>
      <c r="J345" s="96">
        <f t="shared" si="53"/>
        <v>0</v>
      </c>
      <c r="K345" s="94" t="str">
        <f t="shared" si="76"/>
        <v>0.0000185256468584096-0.000141560150578984i</v>
      </c>
      <c r="L345" s="97">
        <f t="shared" si="77"/>
        <v>1.4276720850204757E-4</v>
      </c>
      <c r="M345" s="98">
        <f t="shared" si="78"/>
        <v>78.083476560698884</v>
      </c>
      <c r="N345" s="98">
        <f t="shared" si="79"/>
        <v>25.988495365953902</v>
      </c>
      <c r="O345" s="98">
        <f t="shared" si="57"/>
        <v>78.105029935983694</v>
      </c>
      <c r="P345" s="73">
        <f t="shared" si="58"/>
        <v>6.0448310500227347</v>
      </c>
      <c r="Q345" s="74">
        <f t="shared" si="59"/>
        <v>-6.0906064642296789</v>
      </c>
      <c r="R345" s="99">
        <f t="shared" si="80"/>
        <v>5.9891062131093728E-2</v>
      </c>
      <c r="S345" s="98">
        <f t="shared" si="81"/>
        <v>3.269509960105037E-3</v>
      </c>
      <c r="T345" s="100">
        <f t="shared" si="82"/>
        <v>105.28056049645366</v>
      </c>
      <c r="U345" s="100">
        <f t="shared" si="83"/>
        <v>53.185579301708671</v>
      </c>
      <c r="V345" s="101">
        <f t="shared" si="64"/>
        <v>105.30211387173847</v>
      </c>
      <c r="W345" s="125">
        <f t="shared" si="65"/>
        <v>86.760935574303872</v>
      </c>
    </row>
    <row r="346" spans="3:23" x14ac:dyDescent="0.2">
      <c r="C346" s="90">
        <v>616.6</v>
      </c>
      <c r="D346" s="81">
        <f t="shared" si="70"/>
        <v>3874.2120604069332</v>
      </c>
      <c r="E346" s="82" t="str">
        <f t="shared" si="71"/>
        <v>3874.21206040693i</v>
      </c>
      <c r="F346" s="83" t="str">
        <f t="shared" si="72"/>
        <v>5.81659620314854+0.0405245211359114i</v>
      </c>
      <c r="G346" s="84" t="str">
        <f t="shared" si="73"/>
        <v>-2.48005759212349E-06-2.99558698137032E-07i</v>
      </c>
      <c r="H346" s="84" t="str">
        <f t="shared" si="74"/>
        <v>0.00116055392112229-0.0096082690339086i</v>
      </c>
      <c r="I346" s="85">
        <f t="shared" si="75"/>
        <v>2.4980834801661285E-3</v>
      </c>
      <c r="J346" s="70">
        <f t="shared" si="53"/>
        <v>0</v>
      </c>
      <c r="K346" s="84" t="str">
        <f t="shared" si="76"/>
        <v>0.0000169014588950588-0.000132185529101394i</v>
      </c>
      <c r="L346" s="86">
        <f t="shared" si="77"/>
        <v>1.3326167272174262E-4</v>
      </c>
      <c r="M346" s="72">
        <f t="shared" si="78"/>
        <v>78.084434864561203</v>
      </c>
      <c r="N346" s="72">
        <f t="shared" si="79"/>
        <v>25.589519074404095</v>
      </c>
      <c r="O346" s="72">
        <f t="shared" si="57"/>
        <v>78.10501950496942</v>
      </c>
      <c r="P346" s="73">
        <f t="shared" si="58"/>
        <v>6.0428058030557414</v>
      </c>
      <c r="Q346" s="74">
        <f t="shared" si="59"/>
        <v>-5.9525097393239141</v>
      </c>
      <c r="R346" s="87">
        <f t="shared" si="80"/>
        <v>5.7208576852294989E-2</v>
      </c>
      <c r="S346" s="72">
        <f t="shared" si="81"/>
        <v>3.0518238104917934E-3</v>
      </c>
      <c r="T346" s="88">
        <f t="shared" si="82"/>
        <v>105.28151880031598</v>
      </c>
      <c r="U346" s="88">
        <f t="shared" si="83"/>
        <v>52.786603010158863</v>
      </c>
      <c r="V346" s="89">
        <f t="shared" si="64"/>
        <v>105.30210344072418</v>
      </c>
      <c r="W346" s="125">
        <f t="shared" si="65"/>
        <v>86.790013510506355</v>
      </c>
    </row>
    <row r="347" spans="3:23" x14ac:dyDescent="0.2">
      <c r="C347" s="90">
        <v>631</v>
      </c>
      <c r="D347" s="91">
        <f t="shared" si="70"/>
        <v>3964.6899288303189</v>
      </c>
      <c r="E347" s="92" t="str">
        <f t="shared" si="71"/>
        <v>3964.68992883032i</v>
      </c>
      <c r="F347" s="93" t="str">
        <f t="shared" si="72"/>
        <v>5.81598631621892+0.0395913233602897i</v>
      </c>
      <c r="G347" s="94" t="str">
        <f t="shared" si="73"/>
        <v>-2.36918174407038E-06-2.79571903899708E-07i</v>
      </c>
      <c r="H347" s="94" t="str">
        <f t="shared" si="74"/>
        <v>0.00110841591177509-0.00939307100028449i</v>
      </c>
      <c r="I347" s="95">
        <f t="shared" si="75"/>
        <v>2.3856199583937245E-3</v>
      </c>
      <c r="J347" s="96">
        <f t="shared" si="53"/>
        <v>0</v>
      </c>
      <c r="K347" s="94" t="str">
        <f t="shared" si="76"/>
        <v>0.0000154122937660732-0.000123385966674113i</v>
      </c>
      <c r="L347" s="97">
        <f t="shared" si="77"/>
        <v>1.2434482526923693E-4</v>
      </c>
      <c r="M347" s="98">
        <f t="shared" si="78"/>
        <v>78.085354660490211</v>
      </c>
      <c r="N347" s="98">
        <f t="shared" si="79"/>
        <v>25.188484973380717</v>
      </c>
      <c r="O347" s="98">
        <f t="shared" si="57"/>
        <v>78.105009491746856</v>
      </c>
      <c r="P347" s="73">
        <f t="shared" si="58"/>
        <v>6.0408628484940747</v>
      </c>
      <c r="Q347" s="74">
        <f t="shared" si="59"/>
        <v>-5.8168474381856941</v>
      </c>
      <c r="R347" s="99">
        <f t="shared" si="80"/>
        <v>5.4633051222555636E-2</v>
      </c>
      <c r="S347" s="98">
        <f t="shared" si="81"/>
        <v>2.8476192045140385E-3</v>
      </c>
      <c r="T347" s="100">
        <f t="shared" si="82"/>
        <v>105.28243859624499</v>
      </c>
      <c r="U347" s="100">
        <f t="shared" si="83"/>
        <v>52.385568909135486</v>
      </c>
      <c r="V347" s="101">
        <f t="shared" si="64"/>
        <v>105.30209342750163</v>
      </c>
      <c r="W347" s="125">
        <f t="shared" si="65"/>
        <v>86.817928240055195</v>
      </c>
    </row>
    <row r="348" spans="3:23" x14ac:dyDescent="0.2">
      <c r="C348" s="90">
        <v>645.70000000000005</v>
      </c>
      <c r="D348" s="81">
        <f t="shared" si="70"/>
        <v>4057.0527528458592</v>
      </c>
      <c r="E348" s="82" t="str">
        <f t="shared" si="71"/>
        <v>4057.05275284586i</v>
      </c>
      <c r="F348" s="83" t="str">
        <f t="shared" si="72"/>
        <v>5.81540545000994+0.0386821787724004i</v>
      </c>
      <c r="G348" s="84" t="str">
        <f t="shared" si="73"/>
        <v>-2.26347055993856E-06-2.60960104644593E-07i</v>
      </c>
      <c r="H348" s="84" t="str">
        <f t="shared" si="74"/>
        <v>0.00105872891093129-0.00918301946618429i</v>
      </c>
      <c r="I348" s="85">
        <f t="shared" si="75"/>
        <v>2.2784642090506258E-3</v>
      </c>
      <c r="J348" s="70">
        <f t="shared" si="53"/>
        <v>0</v>
      </c>
      <c r="K348" s="84" t="str">
        <f t="shared" si="76"/>
        <v>0.0000140574259423645-0.000115189597043781i</v>
      </c>
      <c r="L348" s="86">
        <f t="shared" si="77"/>
        <v>1.1604419197544402E-4</v>
      </c>
      <c r="M348" s="72">
        <f t="shared" si="78"/>
        <v>78.08623077555022</v>
      </c>
      <c r="N348" s="72">
        <f t="shared" si="79"/>
        <v>24.788427365701132</v>
      </c>
      <c r="O348" s="72">
        <f t="shared" si="57"/>
        <v>78.104999952808868</v>
      </c>
      <c r="P348" s="73">
        <f t="shared" si="58"/>
        <v>6.0390129936106671</v>
      </c>
      <c r="Q348" s="74">
        <f t="shared" si="59"/>
        <v>-5.6845880648985556</v>
      </c>
      <c r="R348" s="87">
        <f t="shared" si="80"/>
        <v>5.2179078819258595E-2</v>
      </c>
      <c r="S348" s="72">
        <f t="shared" si="81"/>
        <v>2.6575265108627079E-3</v>
      </c>
      <c r="T348" s="88">
        <f t="shared" si="82"/>
        <v>105.283314711305</v>
      </c>
      <c r="U348" s="88">
        <f t="shared" si="83"/>
        <v>51.985511301455901</v>
      </c>
      <c r="V348" s="89">
        <f t="shared" si="64"/>
        <v>105.30208388856363</v>
      </c>
      <c r="W348" s="125">
        <f t="shared" si="65"/>
        <v>86.844522083898937</v>
      </c>
    </row>
    <row r="349" spans="3:23" x14ac:dyDescent="0.2">
      <c r="C349" s="90">
        <v>660.7</v>
      </c>
      <c r="D349" s="91">
        <f t="shared" si="70"/>
        <v>4151.3005324535525</v>
      </c>
      <c r="E349" s="92" t="str">
        <f t="shared" si="71"/>
        <v>4151.30053245355i</v>
      </c>
      <c r="F349" s="93" t="str">
        <f t="shared" si="72"/>
        <v>5.8148523488362+0.0377967036984676i</v>
      </c>
      <c r="G349" s="94" t="str">
        <f t="shared" si="73"/>
        <v>-2.16271136461923E-06-2.43632029687325E-07i</v>
      </c>
      <c r="H349" s="94" t="str">
        <f t="shared" si="74"/>
        <v>0.00101138977456373-0.00897806483948715i</v>
      </c>
      <c r="I349" s="95">
        <f t="shared" si="75"/>
        <v>2.1763908225644435E-3</v>
      </c>
      <c r="J349" s="96">
        <f t="shared" si="53"/>
        <v>0</v>
      </c>
      <c r="K349" s="94" t="str">
        <f t="shared" si="76"/>
        <v>0.0000128248958413791-0.000107556633989165i</v>
      </c>
      <c r="L349" s="97">
        <f t="shared" si="77"/>
        <v>1.083185462809644E-4</v>
      </c>
      <c r="M349" s="98">
        <f t="shared" si="78"/>
        <v>78.087065091313036</v>
      </c>
      <c r="N349" s="98">
        <f t="shared" si="79"/>
        <v>24.389486052980999</v>
      </c>
      <c r="O349" s="98">
        <f t="shared" si="57"/>
        <v>78.10499086784678</v>
      </c>
      <c r="P349" s="73">
        <f t="shared" si="58"/>
        <v>6.0372521466449456</v>
      </c>
      <c r="Q349" s="74">
        <f t="shared" si="59"/>
        <v>-5.5556850112887473</v>
      </c>
      <c r="R349" s="99">
        <f t="shared" si="80"/>
        <v>4.9841497540757673E-2</v>
      </c>
      <c r="S349" s="98">
        <f t="shared" si="81"/>
        <v>2.4806016006443964E-3</v>
      </c>
      <c r="T349" s="100">
        <f t="shared" si="82"/>
        <v>105.2841490270678</v>
      </c>
      <c r="U349" s="100">
        <f t="shared" si="83"/>
        <v>51.586569988735768</v>
      </c>
      <c r="V349" s="101">
        <f t="shared" si="64"/>
        <v>105.30207480360156</v>
      </c>
      <c r="W349" s="125">
        <f t="shared" si="65"/>
        <v>86.869851473741548</v>
      </c>
    </row>
    <row r="350" spans="3:23" x14ac:dyDescent="0.2">
      <c r="C350" s="90">
        <v>676.1</v>
      </c>
      <c r="D350" s="81">
        <f t="shared" si="70"/>
        <v>4248.0615861841188</v>
      </c>
      <c r="E350" s="82" t="str">
        <f t="shared" si="71"/>
        <v>4248.06158618412i</v>
      </c>
      <c r="F350" s="83" t="str">
        <f t="shared" si="72"/>
        <v>5.81432245990169+0.0369289799702911i</v>
      </c>
      <c r="G350" s="84" t="str">
        <f t="shared" si="73"/>
        <v>-2.06608835060757E-06-2.27400773793624E-07i</v>
      </c>
      <c r="H350" s="84" t="str">
        <f t="shared" si="74"/>
        <v>0.000966012491821239-0.00877687055587852i</v>
      </c>
      <c r="I350" s="85">
        <f t="shared" si="75"/>
        <v>2.0785649338998882E-3</v>
      </c>
      <c r="J350" s="70">
        <f t="shared" si="53"/>
        <v>0</v>
      </c>
      <c r="K350" s="84" t="str">
        <f t="shared" si="76"/>
        <v>0.0000116968168517055-0.000100405093041274i</v>
      </c>
      <c r="L350" s="86">
        <f t="shared" si="77"/>
        <v>1.0108411464265405E-4</v>
      </c>
      <c r="M350" s="72">
        <f t="shared" si="78"/>
        <v>78.087864464769623</v>
      </c>
      <c r="N350" s="72">
        <f t="shared" si="79"/>
        <v>23.989220411794065</v>
      </c>
      <c r="O350" s="72">
        <f t="shared" si="57"/>
        <v>78.104982162345777</v>
      </c>
      <c r="P350" s="73">
        <f t="shared" si="58"/>
        <v>6.0355657338731676</v>
      </c>
      <c r="Q350" s="74">
        <f t="shared" si="59"/>
        <v>-5.4292845815722117</v>
      </c>
      <c r="R350" s="87">
        <f t="shared" si="80"/>
        <v>4.7601188153883985E-2</v>
      </c>
      <c r="S350" s="72">
        <f t="shared" si="81"/>
        <v>2.3149259770517739E-3</v>
      </c>
      <c r="T350" s="88">
        <f t="shared" si="82"/>
        <v>105.2849484005244</v>
      </c>
      <c r="U350" s="88">
        <f t="shared" si="83"/>
        <v>51.186304347548834</v>
      </c>
      <c r="V350" s="89">
        <f t="shared" si="64"/>
        <v>105.30206609810054</v>
      </c>
      <c r="W350" s="125">
        <f t="shared" si="65"/>
        <v>86.894123999875362</v>
      </c>
    </row>
    <row r="351" spans="3:23" x14ac:dyDescent="0.2">
      <c r="C351" s="90">
        <v>691.8</v>
      </c>
      <c r="D351" s="91">
        <f t="shared" si="70"/>
        <v>4346.7075955068376</v>
      </c>
      <c r="E351" s="92" t="str">
        <f t="shared" si="71"/>
        <v>4346.70759550684i</v>
      </c>
      <c r="F351" s="93" t="str">
        <f t="shared" si="72"/>
        <v>5.81381835187895+0.0360845746431122i</v>
      </c>
      <c r="G351" s="94" t="str">
        <f t="shared" si="73"/>
        <v>-1.97408236806043E-06-2.12303304633421E-07i</v>
      </c>
      <c r="H351" s="94" t="str">
        <f t="shared" si="74"/>
        <v>0.000922820386801294-0.0085807588234044i</v>
      </c>
      <c r="I351" s="95">
        <f t="shared" si="75"/>
        <v>1.9854656605051992E-3</v>
      </c>
      <c r="J351" s="96">
        <f t="shared" si="53"/>
        <v>0</v>
      </c>
      <c r="K351" s="94" t="str">
        <f t="shared" si="76"/>
        <v>0.0000106715524201563-0.0000937515722013046i</v>
      </c>
      <c r="L351" s="97">
        <f t="shared" si="77"/>
        <v>9.4356978127071095E-5</v>
      </c>
      <c r="M351" s="98">
        <f t="shared" si="78"/>
        <v>78.088625011188</v>
      </c>
      <c r="N351" s="98">
        <f t="shared" si="79"/>
        <v>23.590435088924401</v>
      </c>
      <c r="O351" s="98">
        <f t="shared" si="57"/>
        <v>78.104973878751608</v>
      </c>
      <c r="P351" s="73">
        <f t="shared" si="58"/>
        <v>6.0339618574679825</v>
      </c>
      <c r="Q351" s="74">
        <f t="shared" si="59"/>
        <v>-5.3062051172474236</v>
      </c>
      <c r="R351" s="99">
        <f t="shared" si="80"/>
        <v>4.5469122921004461E-2</v>
      </c>
      <c r="S351" s="98">
        <f t="shared" si="81"/>
        <v>2.1608679123781252E-3</v>
      </c>
      <c r="T351" s="100">
        <f t="shared" si="82"/>
        <v>105.28570894694278</v>
      </c>
      <c r="U351" s="100">
        <f t="shared" si="83"/>
        <v>50.78751902467917</v>
      </c>
      <c r="V351" s="101">
        <f t="shared" si="64"/>
        <v>105.30205781450638</v>
      </c>
      <c r="W351" s="125">
        <f t="shared" si="65"/>
        <v>86.917221168622007</v>
      </c>
    </row>
    <row r="352" spans="3:23" x14ac:dyDescent="0.2">
      <c r="C352" s="90">
        <v>707.9</v>
      </c>
      <c r="D352" s="81">
        <f t="shared" si="70"/>
        <v>4447.866878952429</v>
      </c>
      <c r="E352" s="82" t="str">
        <f t="shared" si="71"/>
        <v>4447.86687895243i</v>
      </c>
      <c r="F352" s="83" t="str">
        <f t="shared" si="72"/>
        <v>5.81333591958493+0.0352579779531684i</v>
      </c>
      <c r="G352" s="84" t="str">
        <f t="shared" si="73"/>
        <v>-1.88595571647769E-06-1.98176981783431E-07i</v>
      </c>
      <c r="H352" s="84" t="str">
        <f t="shared" si="74"/>
        <v>0.000881464833445282-0.00838847996649212i</v>
      </c>
      <c r="I352" s="85">
        <f t="shared" si="75"/>
        <v>1.896339389619819E-3</v>
      </c>
      <c r="J352" s="70">
        <f t="shared" si="53"/>
        <v>0</v>
      </c>
      <c r="K352" s="84" t="str">
        <f t="shared" si="76"/>
        <v>0.0000097341701758135-0.000087524674677863i</v>
      </c>
      <c r="L352" s="86">
        <f t="shared" si="77"/>
        <v>8.8064310287865486E-5</v>
      </c>
      <c r="M352" s="72">
        <f t="shared" si="78"/>
        <v>78.089352915053041</v>
      </c>
      <c r="N352" s="72">
        <f t="shared" si="79"/>
        <v>23.190780468964093</v>
      </c>
      <c r="O352" s="72">
        <f t="shared" si="57"/>
        <v>78.104965949833826</v>
      </c>
      <c r="P352" s="73">
        <f t="shared" si="58"/>
        <v>6.0324273889644058</v>
      </c>
      <c r="Q352" s="74">
        <f t="shared" si="59"/>
        <v>-5.185650568351587</v>
      </c>
      <c r="R352" s="87">
        <f t="shared" si="80"/>
        <v>4.3428043366222871E-2</v>
      </c>
      <c r="S352" s="72">
        <f t="shared" si="81"/>
        <v>2.0167596091355054E-3</v>
      </c>
      <c r="T352" s="88">
        <f t="shared" si="82"/>
        <v>105.2864368508078</v>
      </c>
      <c r="U352" s="88">
        <f t="shared" si="83"/>
        <v>50.387864404718862</v>
      </c>
      <c r="V352" s="89">
        <f t="shared" si="64"/>
        <v>105.30204988558859</v>
      </c>
      <c r="W352" s="125">
        <f t="shared" si="65"/>
        <v>86.939330301430743</v>
      </c>
    </row>
    <row r="353" spans="3:23" x14ac:dyDescent="0.2">
      <c r="C353" s="90">
        <v>724.4</v>
      </c>
      <c r="D353" s="91">
        <f t="shared" si="70"/>
        <v>4551.5394365208922</v>
      </c>
      <c r="E353" s="92" t="str">
        <f t="shared" si="71"/>
        <v>4551.53943652089i</v>
      </c>
      <c r="F353" s="93" t="str">
        <f t="shared" si="72"/>
        <v>5.81287457152348+0.0344493646349657i</v>
      </c>
      <c r="G353" s="94" t="str">
        <f t="shared" si="73"/>
        <v>-0.0000018016102858957-1.84969901491775E-07i</v>
      </c>
      <c r="H353" s="94" t="str">
        <f t="shared" si="74"/>
        <v>0.000841897801209198-0.00820010026549596i</v>
      </c>
      <c r="I353" s="95">
        <f t="shared" si="75"/>
        <v>1.8110807510166582E-3</v>
      </c>
      <c r="J353" s="96">
        <f t="shared" si="53"/>
        <v>0</v>
      </c>
      <c r="K353" s="94" t="str">
        <f t="shared" si="76"/>
        <v>8.87785330692736E-06-0.0000817017597030638i</v>
      </c>
      <c r="L353" s="97">
        <f t="shared" si="77"/>
        <v>8.2182685633389358E-5</v>
      </c>
      <c r="M353" s="98">
        <f t="shared" si="78"/>
        <v>78.090049061088038</v>
      </c>
      <c r="N353" s="98">
        <f t="shared" si="79"/>
        <v>22.790518881237794</v>
      </c>
      <c r="O353" s="98">
        <f t="shared" si="57"/>
        <v>78.104958366066398</v>
      </c>
      <c r="P353" s="73">
        <f t="shared" si="58"/>
        <v>6.0309603890637478</v>
      </c>
      <c r="Q353" s="74">
        <f t="shared" si="59"/>
        <v>-5.0676524464634261</v>
      </c>
      <c r="R353" s="99">
        <f t="shared" si="80"/>
        <v>4.1475536407357509E-2</v>
      </c>
      <c r="S353" s="98">
        <f t="shared" si="81"/>
        <v>1.8820646004484563E-3</v>
      </c>
      <c r="T353" s="100">
        <f t="shared" si="82"/>
        <v>105.28713299684281</v>
      </c>
      <c r="U353" s="100">
        <f t="shared" si="83"/>
        <v>49.987602816992563</v>
      </c>
      <c r="V353" s="101">
        <f t="shared" si="64"/>
        <v>105.30204230182116</v>
      </c>
      <c r="W353" s="125">
        <f t="shared" si="65"/>
        <v>86.960477843561321</v>
      </c>
    </row>
    <row r="354" spans="3:23" x14ac:dyDescent="0.2">
      <c r="C354" s="90">
        <v>741.3</v>
      </c>
      <c r="D354" s="81">
        <f t="shared" si="70"/>
        <v>4657.7252682122271</v>
      </c>
      <c r="E354" s="82" t="str">
        <f t="shared" si="71"/>
        <v>4657.72526821223i</v>
      </c>
      <c r="F354" s="83" t="str">
        <f t="shared" si="72"/>
        <v>5.81243367932814+0.0336588354060225i</v>
      </c>
      <c r="G354" s="84" t="str">
        <f t="shared" si="73"/>
        <v>-1.72094043882742E-06-1.72631024569438E-07i</v>
      </c>
      <c r="H354" s="84" t="str">
        <f t="shared" si="74"/>
        <v>0.000804067885214438-0.00801566776701472i</v>
      </c>
      <c r="I354" s="85">
        <f t="shared" si="75"/>
        <v>1.7295772502653377E-3</v>
      </c>
      <c r="J354" s="70">
        <f t="shared" si="53"/>
        <v>0</v>
      </c>
      <c r="K354" s="84" t="str">
        <f t="shared" si="76"/>
        <v>8.09616447353582E-06-0.0000762605401986352i</v>
      </c>
      <c r="L354" s="86">
        <f t="shared" si="77"/>
        <v>7.6689098772708231E-5</v>
      </c>
      <c r="M354" s="72">
        <f t="shared" si="78"/>
        <v>78.09071439026846</v>
      </c>
      <c r="N354" s="72">
        <f t="shared" si="79"/>
        <v>22.389896145054259</v>
      </c>
      <c r="O354" s="72">
        <f t="shared" si="57"/>
        <v>78.104951117301468</v>
      </c>
      <c r="P354" s="73">
        <f t="shared" si="58"/>
        <v>6.0295588058865501</v>
      </c>
      <c r="Q354" s="74">
        <f t="shared" si="59"/>
        <v>-4.9522312236499566</v>
      </c>
      <c r="R354" s="87">
        <f t="shared" si="80"/>
        <v>3.9609025810941043E-2</v>
      </c>
      <c r="S354" s="72">
        <f t="shared" si="81"/>
        <v>1.7562560401624191E-3</v>
      </c>
      <c r="T354" s="88">
        <f t="shared" si="82"/>
        <v>105.28779832602322</v>
      </c>
      <c r="U354" s="88">
        <f t="shared" si="83"/>
        <v>49.586980080809028</v>
      </c>
      <c r="V354" s="89">
        <f t="shared" si="64"/>
        <v>105.30203505305624</v>
      </c>
      <c r="W354" s="125">
        <f t="shared" si="65"/>
        <v>86.98069198306149</v>
      </c>
    </row>
    <row r="355" spans="3:23" x14ac:dyDescent="0.2">
      <c r="C355" s="90">
        <v>758.6</v>
      </c>
      <c r="D355" s="91">
        <f t="shared" si="70"/>
        <v>4766.4243740264346</v>
      </c>
      <c r="E355" s="92" t="str">
        <f t="shared" si="71"/>
        <v>4766.42437402643i</v>
      </c>
      <c r="F355" s="93" t="str">
        <f t="shared" si="72"/>
        <v>5.81201258712315+0.0328864245923185i</v>
      </c>
      <c r="G355" s="94" t="str">
        <f t="shared" si="73"/>
        <v>-0.0000016438347378223-1.6111052086264E-07i</v>
      </c>
      <c r="H355" s="94" t="str">
        <f t="shared" si="74"/>
        <v>0.000767921113551781-0.00783521396122756i</v>
      </c>
      <c r="I355" s="95">
        <f t="shared" si="75"/>
        <v>1.651711005352916E-3</v>
      </c>
      <c r="J355" s="96">
        <f t="shared" si="53"/>
        <v>0</v>
      </c>
      <c r="K355" s="94" t="str">
        <f t="shared" si="76"/>
        <v>7.38305416266456E-06-0.0000711792366540746i</v>
      </c>
      <c r="L355" s="97">
        <f t="shared" si="77"/>
        <v>7.1561115275166001E-5</v>
      </c>
      <c r="M355" s="98">
        <f t="shared" si="78"/>
        <v>78.09134988568286</v>
      </c>
      <c r="N355" s="98">
        <f t="shared" si="79"/>
        <v>21.98914223589987</v>
      </c>
      <c r="O355" s="98">
        <f t="shared" si="57"/>
        <v>78.104944192923696</v>
      </c>
      <c r="P355" s="73">
        <f t="shared" si="58"/>
        <v>6.0282205046296795</v>
      </c>
      <c r="Q355" s="74">
        <f t="shared" si="59"/>
        <v>-4.8393974228288457</v>
      </c>
      <c r="R355" s="99">
        <f t="shared" si="80"/>
        <v>3.7825811962548889E-2</v>
      </c>
      <c r="S355" s="98">
        <f t="shared" si="81"/>
        <v>1.6388201576766441E-3</v>
      </c>
      <c r="T355" s="100">
        <f t="shared" si="82"/>
        <v>105.28843382143762</v>
      </c>
      <c r="U355" s="100">
        <f t="shared" si="83"/>
        <v>49.186226171654639</v>
      </c>
      <c r="V355" s="101">
        <f t="shared" si="64"/>
        <v>105.30202812867847</v>
      </c>
      <c r="W355" s="125">
        <f t="shared" si="65"/>
        <v>87.000002220521282</v>
      </c>
    </row>
    <row r="356" spans="3:23" x14ac:dyDescent="0.2">
      <c r="C356" s="90">
        <v>776.2</v>
      </c>
      <c r="D356" s="81">
        <f t="shared" si="70"/>
        <v>4877.0084354327955</v>
      </c>
      <c r="E356" s="82" t="str">
        <f t="shared" si="71"/>
        <v>4877.0084354328i</v>
      </c>
      <c r="F356" s="83" t="str">
        <f t="shared" si="72"/>
        <v>5.81161281367468+0.0321362714556695i</v>
      </c>
      <c r="G356" s="84" t="str">
        <f t="shared" si="73"/>
        <v>-0.0000015705796354594-1.5041805105388E-07i</v>
      </c>
      <c r="H356" s="84" t="str">
        <f t="shared" si="74"/>
        <v>0.000733590103831134-0.00765973013065447i</v>
      </c>
      <c r="I356" s="85">
        <f t="shared" si="75"/>
        <v>1.5777661364735362E-3</v>
      </c>
      <c r="J356" s="70">
        <f t="shared" si="53"/>
        <v>0</v>
      </c>
      <c r="K356" s="84" t="str">
        <f t="shared" si="76"/>
        <v>6.73632942303109E-06-0.0000664622922190562i</v>
      </c>
      <c r="L356" s="86">
        <f t="shared" si="77"/>
        <v>6.6802802494407475E-5</v>
      </c>
      <c r="M356" s="72">
        <f t="shared" si="78"/>
        <v>78.091953248780953</v>
      </c>
      <c r="N356" s="72">
        <f t="shared" si="79"/>
        <v>21.590709874094351</v>
      </c>
      <c r="O356" s="72">
        <f t="shared" si="57"/>
        <v>78.10493761807129</v>
      </c>
      <c r="P356" s="73">
        <f t="shared" si="58"/>
        <v>6.0269502637209325</v>
      </c>
      <c r="Q356" s="74">
        <f t="shared" si="59"/>
        <v>-4.7297613919813219</v>
      </c>
      <c r="R356" s="87">
        <f t="shared" si="80"/>
        <v>3.6132401495002166E-2</v>
      </c>
      <c r="S356" s="72">
        <f t="shared" si="81"/>
        <v>1.5298500994033399E-3</v>
      </c>
      <c r="T356" s="88">
        <f t="shared" si="82"/>
        <v>105.28903718453572</v>
      </c>
      <c r="U356" s="88">
        <f t="shared" si="83"/>
        <v>48.78779380984912</v>
      </c>
      <c r="V356" s="89">
        <f t="shared" si="64"/>
        <v>105.30202155382605</v>
      </c>
      <c r="W356" s="125">
        <f t="shared" si="65"/>
        <v>87.018338353564658</v>
      </c>
    </row>
    <row r="357" spans="3:23" x14ac:dyDescent="0.2">
      <c r="C357" s="90">
        <v>794.3</v>
      </c>
      <c r="D357" s="91">
        <f t="shared" si="70"/>
        <v>4990.7340894927447</v>
      </c>
      <c r="E357" s="92" t="str">
        <f t="shared" si="71"/>
        <v>4990.73408949274i</v>
      </c>
      <c r="F357" s="93" t="str">
        <f t="shared" si="72"/>
        <v>5.81122913712293+0.0313997809128474i</v>
      </c>
      <c r="G357" s="94" t="str">
        <f t="shared" si="73"/>
        <v>-1.50022553020925E-06-1.4038583543614E-07i</v>
      </c>
      <c r="H357" s="94" t="str">
        <f t="shared" si="74"/>
        <v>0.000700628374593062-0.00748722669554262i</v>
      </c>
      <c r="I357" s="95">
        <f t="shared" si="75"/>
        <v>1.5067796203435751E-3</v>
      </c>
      <c r="J357" s="96">
        <f t="shared" si="53"/>
        <v>0</v>
      </c>
      <c r="K357" s="94" t="str">
        <f t="shared" si="76"/>
        <v>6.14340092134427E-06-0.0000620358479774692i</v>
      </c>
      <c r="L357" s="97">
        <f t="shared" si="77"/>
        <v>6.2339295866764831E-5</v>
      </c>
      <c r="M357" s="98">
        <f t="shared" si="78"/>
        <v>78.092532355081588</v>
      </c>
      <c r="N357" s="98">
        <f t="shared" si="79"/>
        <v>21.190272562315172</v>
      </c>
      <c r="O357" s="98">
        <f t="shared" si="57"/>
        <v>78.104931307005259</v>
      </c>
      <c r="P357" s="73">
        <f t="shared" si="58"/>
        <v>6.0257314491272469</v>
      </c>
      <c r="Q357" s="74">
        <f t="shared" si="59"/>
        <v>-4.6220718845527164</v>
      </c>
      <c r="R357" s="99">
        <f t="shared" si="80"/>
        <v>3.4506740224776122E-2</v>
      </c>
      <c r="S357" s="98">
        <f t="shared" si="81"/>
        <v>1.427631392956732E-3</v>
      </c>
      <c r="T357" s="100">
        <f t="shared" si="82"/>
        <v>105.28961629083636</v>
      </c>
      <c r="U357" s="100">
        <f t="shared" si="83"/>
        <v>48.387356498069941</v>
      </c>
      <c r="V357" s="101">
        <f t="shared" si="64"/>
        <v>105.30201524276004</v>
      </c>
      <c r="W357" s="125">
        <f t="shared" si="65"/>
        <v>87.035939406913855</v>
      </c>
    </row>
    <row r="358" spans="3:23" x14ac:dyDescent="0.2">
      <c r="C358" s="90">
        <v>812.8</v>
      </c>
      <c r="D358" s="81">
        <f t="shared" si="70"/>
        <v>5106.9730176755675</v>
      </c>
      <c r="E358" s="82" t="str">
        <f t="shared" si="71"/>
        <v>5106.97301767557i</v>
      </c>
      <c r="F358" s="83" t="str">
        <f t="shared" si="72"/>
        <v>5.81086321519624+0.0306811912764169i</v>
      </c>
      <c r="G358" s="84" t="str">
        <f t="shared" si="73"/>
        <v>-1.43308266769831E-06-1.31032614615855E-07i</v>
      </c>
      <c r="H358" s="84" t="str">
        <f t="shared" si="74"/>
        <v>0.000669180027278653-0.0073187145160338i</v>
      </c>
      <c r="I358" s="85">
        <f t="shared" si="75"/>
        <v>1.4390606236536292E-3</v>
      </c>
      <c r="J358" s="70">
        <f t="shared" si="53"/>
        <v>0</v>
      </c>
      <c r="K358" s="84" t="str">
        <f t="shared" si="76"/>
        <v>5.60325278494888E-06-0.0000579083064650922i</v>
      </c>
      <c r="L358" s="86">
        <f t="shared" si="77"/>
        <v>5.8178762443241061E-5</v>
      </c>
      <c r="M358" s="72">
        <f t="shared" si="78"/>
        <v>78.093084697607026</v>
      </c>
      <c r="N358" s="72">
        <f t="shared" si="79"/>
        <v>20.790306936601738</v>
      </c>
      <c r="O358" s="72">
        <f t="shared" si="57"/>
        <v>78.104925287116743</v>
      </c>
      <c r="P358" s="73">
        <f t="shared" si="58"/>
        <v>6.0245692905860411</v>
      </c>
      <c r="Q358" s="74">
        <f t="shared" si="59"/>
        <v>-4.5169528768790155</v>
      </c>
      <c r="R358" s="87">
        <f t="shared" si="80"/>
        <v>3.2955908374177022E-2</v>
      </c>
      <c r="S358" s="72">
        <f t="shared" si="81"/>
        <v>1.3323510718641909E-3</v>
      </c>
      <c r="T358" s="88">
        <f t="shared" si="82"/>
        <v>105.29016863336179</v>
      </c>
      <c r="U358" s="88">
        <f t="shared" si="83"/>
        <v>47.987390872356507</v>
      </c>
      <c r="V358" s="89">
        <f t="shared" si="64"/>
        <v>105.3020092228715</v>
      </c>
      <c r="W358" s="125">
        <f t="shared" si="65"/>
        <v>87.052728915921861</v>
      </c>
    </row>
    <row r="359" spans="3:23" x14ac:dyDescent="0.2">
      <c r="C359" s="90">
        <v>831.8</v>
      </c>
      <c r="D359" s="91">
        <f t="shared" si="70"/>
        <v>5226.3535385119794</v>
      </c>
      <c r="E359" s="92" t="str">
        <f t="shared" si="71"/>
        <v>5226.35353851198i</v>
      </c>
      <c r="F359" s="93" t="str">
        <f t="shared" si="72"/>
        <v>5.81051257106733+0.0299767146724329i</v>
      </c>
      <c r="G359" s="94" t="str">
        <f t="shared" si="73"/>
        <v>-0.0000013687024377632-1.22271439772459E-07i</v>
      </c>
      <c r="H359" s="94" t="str">
        <f t="shared" si="74"/>
        <v>0.000639033771913746-0.00715332282877367i</v>
      </c>
      <c r="I359" s="95">
        <f t="shared" si="75"/>
        <v>1.3741530730318791E-3</v>
      </c>
      <c r="J359" s="96">
        <f t="shared" ref="J359:J367" si="84">IF(AND(I360&gt;I359,I360&gt;I361),I360,0)</f>
        <v>0</v>
      </c>
      <c r="K359" s="94" t="str">
        <f t="shared" si="76"/>
        <v>5.10888415669982E-06-0.0000540414191103229i</v>
      </c>
      <c r="L359" s="97">
        <f t="shared" si="77"/>
        <v>5.4282369852320848E-5</v>
      </c>
      <c r="M359" s="98">
        <f t="shared" si="78"/>
        <v>78.093614010466965</v>
      </c>
      <c r="N359" s="98">
        <f t="shared" si="79"/>
        <v>20.38889777659621</v>
      </c>
      <c r="O359" s="98">
        <f t="shared" ref="O359:O367" si="85">79.6+20*LOG10(IMABS(IMSUM(IMPRODUCT(COMPLEX(Sd*D359,0),H359),IMPRODUCT(COMPLEX(Sp*D359,0),K359))))</f>
        <v>78.10491951777297</v>
      </c>
      <c r="P359" s="73">
        <f t="shared" ref="P359:P367" si="86">IMABS(IMDIV(COMPLEX(Re,D359*Le),IMSUB(COMPLEX(1,0),IMPRODUCT(COMPLEX(Bl,0),H359))))</f>
        <v>6.0234558878445155</v>
      </c>
      <c r="Q359" s="74">
        <f t="shared" ref="Q359:Q367" si="87">180/PI()*IMARGUMENT(IMDIV(COMPLEX(Re,D359*Le),IMSUB(COMPLEX(1,0),IMPRODUCT(COMPLEX(Bl,0),H359))))</f>
        <v>-4.4138543573868265</v>
      </c>
      <c r="R359" s="99">
        <f t="shared" si="80"/>
        <v>3.1469461412928286E-2</v>
      </c>
      <c r="S359" s="98">
        <f t="shared" si="81"/>
        <v>1.2431198364974895E-3</v>
      </c>
      <c r="T359" s="100">
        <f t="shared" ref="T359:T367" si="88">20*LOG10(MaxV)+M359</f>
        <v>105.29069794622174</v>
      </c>
      <c r="U359" s="100">
        <f t="shared" ref="U359:U367" si="89">20*LOG10(MaxV)+N359</f>
        <v>47.585981712350979</v>
      </c>
      <c r="V359" s="101">
        <f t="shared" ref="V359:V367" si="90">20*LOG10(MaxV)+O359</f>
        <v>105.30200345352773</v>
      </c>
      <c r="W359" s="125">
        <f t="shared" ref="W359:W367" si="91">IMABS(IMDIV(COMPLEX($E$56^2,0),IMDIV(COMPLEX(Re,D359*Le),IMSUB(COMPLEX(1,0),IMPRODUCT(COMPLEX(Bl,0),H359)))))</f>
        <v>87.068820134789661</v>
      </c>
    </row>
    <row r="360" spans="3:23" x14ac:dyDescent="0.2">
      <c r="C360" s="90">
        <v>851.1</v>
      </c>
      <c r="D360" s="81">
        <f t="shared" si="70"/>
        <v>5347.6190149405456</v>
      </c>
      <c r="E360" s="82" t="str">
        <f t="shared" si="71"/>
        <v>5347.61901494055i</v>
      </c>
      <c r="F360" s="83" t="str">
        <f t="shared" si="72"/>
        <v>5.81018019897481+0.0292935599864877i</v>
      </c>
      <c r="G360" s="84" t="str">
        <f t="shared" si="73"/>
        <v>-1.30764028046465E-06-1.14153338116015E-07i</v>
      </c>
      <c r="H360" s="84" t="str">
        <f t="shared" si="74"/>
        <v>0.00061044856152814-0.00699276202851496i</v>
      </c>
      <c r="I360" s="85">
        <f t="shared" si="75"/>
        <v>1.3126134570758817E-3</v>
      </c>
      <c r="J360" s="70">
        <f t="shared" si="84"/>
        <v>0</v>
      </c>
      <c r="K360" s="84" t="str">
        <f t="shared" si="76"/>
        <v>4.66127461743446E-06-0.0000504578208407789i</v>
      </c>
      <c r="L360" s="86">
        <f t="shared" si="77"/>
        <v>5.0672666843765786E-5</v>
      </c>
      <c r="M360" s="72">
        <f t="shared" si="78"/>
        <v>78.094115769320325</v>
      </c>
      <c r="N360" s="72">
        <f t="shared" si="79"/>
        <v>19.990430497062022</v>
      </c>
      <c r="O360" s="72">
        <f t="shared" si="85"/>
        <v>78.104914048351247</v>
      </c>
      <c r="P360" s="73">
        <f t="shared" si="86"/>
        <v>6.0224007157088337</v>
      </c>
      <c r="Q360" s="74">
        <f t="shared" si="87"/>
        <v>-4.3138355263058878</v>
      </c>
      <c r="R360" s="87">
        <f t="shared" si="80"/>
        <v>3.0060143479067537E-2</v>
      </c>
      <c r="S360" s="72">
        <f t="shared" si="81"/>
        <v>1.1604540754777059E-3</v>
      </c>
      <c r="T360" s="88">
        <f t="shared" si="88"/>
        <v>105.29119970507509</v>
      </c>
      <c r="U360" s="88">
        <f t="shared" si="89"/>
        <v>47.187514432816791</v>
      </c>
      <c r="V360" s="89">
        <f t="shared" si="90"/>
        <v>105.30199798410601</v>
      </c>
      <c r="W360" s="125">
        <f t="shared" si="91"/>
        <v>87.084075279246179</v>
      </c>
    </row>
    <row r="361" spans="3:23" x14ac:dyDescent="0.2">
      <c r="C361" s="90">
        <v>871</v>
      </c>
      <c r="D361" s="91">
        <f t="shared" si="70"/>
        <v>5472.6544025534195</v>
      </c>
      <c r="E361" s="92" t="str">
        <f t="shared" si="71"/>
        <v>5472.65440255342i</v>
      </c>
      <c r="F361" s="93" t="str">
        <f t="shared" si="72"/>
        <v>5.80986040211958+0.0286210973156462i</v>
      </c>
      <c r="G361" s="94" t="str">
        <f t="shared" si="73"/>
        <v>-1.24885459721255E-06-1.06517925324165E-07i</v>
      </c>
      <c r="H361" s="94" t="str">
        <f t="shared" si="74"/>
        <v>0.000582935792976148-0.00683454960958434i</v>
      </c>
      <c r="I361" s="95">
        <f t="shared" si="75"/>
        <v>1.2533889553503674E-3</v>
      </c>
      <c r="J361" s="96">
        <f t="shared" si="84"/>
        <v>0</v>
      </c>
      <c r="K361" s="94" t="str">
        <f t="shared" si="76"/>
        <v>4.24990094269536E-06-0.0000470868110119119i</v>
      </c>
      <c r="L361" s="97">
        <f t="shared" si="77"/>
        <v>4.727821305098397E-5</v>
      </c>
      <c r="M361" s="98">
        <f t="shared" si="78"/>
        <v>78.094598570353085</v>
      </c>
      <c r="N361" s="98">
        <f t="shared" si="79"/>
        <v>19.588927628551716</v>
      </c>
      <c r="O361" s="98">
        <f t="shared" si="85"/>
        <v>78.104908785204458</v>
      </c>
      <c r="P361" s="73">
        <f t="shared" si="86"/>
        <v>6.0213856598718953</v>
      </c>
      <c r="Q361" s="74">
        <f t="shared" si="87"/>
        <v>-4.2153437871976092</v>
      </c>
      <c r="R361" s="99">
        <f t="shared" si="80"/>
        <v>2.8703843945683791E-2</v>
      </c>
      <c r="S361" s="98">
        <f t="shared" si="81"/>
        <v>1.0827177339111668E-3</v>
      </c>
      <c r="T361" s="100">
        <f t="shared" si="88"/>
        <v>105.29168250610786</v>
      </c>
      <c r="U361" s="100">
        <f t="shared" si="89"/>
        <v>46.786011564306484</v>
      </c>
      <c r="V361" s="101">
        <f t="shared" si="90"/>
        <v>105.30199272095922</v>
      </c>
      <c r="W361" s="125">
        <f t="shared" si="91"/>
        <v>87.098755488073465</v>
      </c>
    </row>
    <row r="362" spans="3:23" x14ac:dyDescent="0.2">
      <c r="C362" s="90">
        <v>891.3</v>
      </c>
      <c r="D362" s="81">
        <f t="shared" si="70"/>
        <v>5600.203064289165</v>
      </c>
      <c r="E362" s="82" t="str">
        <f t="shared" si="71"/>
        <v>5600.20306428917i</v>
      </c>
      <c r="F362" s="83" t="str">
        <f t="shared" si="72"/>
        <v>5.8095560289758+0.0279662700735156i</v>
      </c>
      <c r="G362" s="84" t="str">
        <f t="shared" si="73"/>
        <v>-1.19287332749412E-06-9.94145537953239E-08i</v>
      </c>
      <c r="H362" s="84" t="str">
        <f t="shared" si="74"/>
        <v>0.000556741688799513-0.00668033286394139i</v>
      </c>
      <c r="I362" s="85">
        <f t="shared" si="75"/>
        <v>1.1970087839916705E-3</v>
      </c>
      <c r="J362" s="70">
        <f t="shared" si="84"/>
        <v>0</v>
      </c>
      <c r="K362" s="84" t="str">
        <f t="shared" si="76"/>
        <v>3.87595746632499E-06-0.0000439502627008301i</v>
      </c>
      <c r="L362" s="86">
        <f t="shared" si="77"/>
        <v>4.4120841308306195E-5</v>
      </c>
      <c r="M362" s="72">
        <f t="shared" si="78"/>
        <v>78.095058109837112</v>
      </c>
      <c r="N362" s="72">
        <f t="shared" si="79"/>
        <v>19.188697292932616</v>
      </c>
      <c r="O362" s="72">
        <f t="shared" si="85"/>
        <v>78.104903775296506</v>
      </c>
      <c r="P362" s="73">
        <f t="shared" si="86"/>
        <v>6.0204197366099184</v>
      </c>
      <c r="Q362" s="74">
        <f t="shared" si="87"/>
        <v>-4.1193993018271557</v>
      </c>
      <c r="R362" s="87">
        <f t="shared" si="80"/>
        <v>2.7412682384539696E-2</v>
      </c>
      <c r="S362" s="72">
        <f t="shared" si="81"/>
        <v>1.0104108052491057E-3</v>
      </c>
      <c r="T362" s="88">
        <f t="shared" si="88"/>
        <v>105.29214204559187</v>
      </c>
      <c r="U362" s="88">
        <f t="shared" si="89"/>
        <v>46.385781228687385</v>
      </c>
      <c r="V362" s="89">
        <f t="shared" si="90"/>
        <v>105.30198771105128</v>
      </c>
      <c r="W362" s="125">
        <f t="shared" si="91"/>
        <v>87.112729715402409</v>
      </c>
    </row>
    <row r="363" spans="3:23" x14ac:dyDescent="0.2">
      <c r="C363" s="90">
        <v>912</v>
      </c>
      <c r="D363" s="91">
        <f t="shared" si="70"/>
        <v>5730.2650001477823</v>
      </c>
      <c r="E363" s="92" t="str">
        <f t="shared" si="71"/>
        <v>5730.26500014778i</v>
      </c>
      <c r="F363" s="93" t="str">
        <f t="shared" si="72"/>
        <v>5.80926638002953+0.0273287555713755i</v>
      </c>
      <c r="G363" s="94" t="str">
        <f t="shared" si="73"/>
        <v>-1.13957226997429E-06-9.28067456048057E-08i</v>
      </c>
      <c r="H363" s="94" t="str">
        <f t="shared" si="74"/>
        <v>0.000531807246116837-0.00653005109377263i</v>
      </c>
      <c r="I363" s="95">
        <f t="shared" si="75"/>
        <v>1.1433451143570393E-3</v>
      </c>
      <c r="J363" s="96">
        <f t="shared" si="84"/>
        <v>0</v>
      </c>
      <c r="K363" s="94" t="str">
        <f t="shared" si="76"/>
        <v>3.53604151416739E-06-0.0000410321509789302i</v>
      </c>
      <c r="L363" s="97">
        <f t="shared" si="77"/>
        <v>4.1184232462771943E-5</v>
      </c>
      <c r="M363" s="98">
        <f t="shared" si="78"/>
        <v>78.09549544044151</v>
      </c>
      <c r="N363" s="98">
        <f t="shared" si="79"/>
        <v>18.789859758950598</v>
      </c>
      <c r="O363" s="98">
        <f t="shared" si="85"/>
        <v>78.104899007200885</v>
      </c>
      <c r="P363" s="73">
        <f t="shared" si="86"/>
        <v>6.0195007003607728</v>
      </c>
      <c r="Q363" s="74">
        <f t="shared" si="87"/>
        <v>-4.0259583608673211</v>
      </c>
      <c r="R363" s="99">
        <f t="shared" si="80"/>
        <v>2.6183731393572489E-2</v>
      </c>
      <c r="S363" s="98">
        <f t="shared" si="81"/>
        <v>9.4315956478467438E-4</v>
      </c>
      <c r="T363" s="100">
        <f t="shared" si="88"/>
        <v>105.29257937619627</v>
      </c>
      <c r="U363" s="100">
        <f t="shared" si="89"/>
        <v>45.986943694705367</v>
      </c>
      <c r="V363" s="101">
        <f t="shared" si="90"/>
        <v>105.30198294295565</v>
      </c>
      <c r="W363" s="125">
        <f t="shared" si="91"/>
        <v>87.126029781363997</v>
      </c>
    </row>
    <row r="364" spans="3:23" x14ac:dyDescent="0.2">
      <c r="C364" s="90">
        <v>933.3</v>
      </c>
      <c r="D364" s="81">
        <f t="shared" si="70"/>
        <v>5864.0968471907072</v>
      </c>
      <c r="E364" s="82" t="str">
        <f t="shared" si="71"/>
        <v>5864.09684719071i</v>
      </c>
      <c r="F364" s="83" t="str">
        <f t="shared" si="72"/>
        <v>5.80898825251828+0.0267024683035664i</v>
      </c>
      <c r="G364" s="84" t="str">
        <f t="shared" si="73"/>
        <v>-1.08836575674328E-06-8.66045978968705E-08i</v>
      </c>
      <c r="H364" s="84" t="str">
        <f t="shared" si="74"/>
        <v>0.000507857749479257-0.0063822822027086i</v>
      </c>
      <c r="I364" s="85">
        <f t="shared" si="75"/>
        <v>1.0918060161165311E-3</v>
      </c>
      <c r="J364" s="70">
        <f t="shared" si="84"/>
        <v>0</v>
      </c>
      <c r="K364" s="84" t="str">
        <f t="shared" si="76"/>
        <v>3.22428072895868E-06-0.0000382928415830933i</v>
      </c>
      <c r="L364" s="86">
        <f t="shared" si="77"/>
        <v>3.8428345042780777E-5</v>
      </c>
      <c r="M364" s="72">
        <f t="shared" si="78"/>
        <v>78.095915395036371</v>
      </c>
      <c r="N364" s="72">
        <f t="shared" si="79"/>
        <v>18.388802407505807</v>
      </c>
      <c r="O364" s="72">
        <f t="shared" si="85"/>
        <v>78.104894428267286</v>
      </c>
      <c r="P364" s="73">
        <f t="shared" si="86"/>
        <v>6.0186183676567548</v>
      </c>
      <c r="Q364" s="74">
        <f t="shared" si="87"/>
        <v>-3.9341319121253675</v>
      </c>
      <c r="R364" s="87">
        <f t="shared" si="80"/>
        <v>2.5003435184098335E-2</v>
      </c>
      <c r="S364" s="72">
        <f t="shared" si="81"/>
        <v>8.8004702330453431E-4</v>
      </c>
      <c r="T364" s="88">
        <f t="shared" si="88"/>
        <v>105.29299933079113</v>
      </c>
      <c r="U364" s="88">
        <f t="shared" si="89"/>
        <v>45.585886343260576</v>
      </c>
      <c r="V364" s="89">
        <f t="shared" si="90"/>
        <v>105.30197836402206</v>
      </c>
      <c r="W364" s="125">
        <f t="shared" si="91"/>
        <v>87.138802504396295</v>
      </c>
    </row>
    <row r="365" spans="3:23" x14ac:dyDescent="0.2">
      <c r="C365" s="90">
        <v>955</v>
      </c>
      <c r="D365" s="91">
        <f t="shared" si="70"/>
        <v>6000.4419683565047</v>
      </c>
      <c r="E365" s="92" t="str">
        <f t="shared" si="71"/>
        <v>6000.4419683565i</v>
      </c>
      <c r="F365" s="93" t="str">
        <f t="shared" si="72"/>
        <v>5.80872384650465+0.0260933207694348i</v>
      </c>
      <c r="G365" s="94" t="str">
        <f t="shared" si="73"/>
        <v>-1.03966224503931E-06-8.08413049263825E-08i</v>
      </c>
      <c r="H365" s="94" t="str">
        <f t="shared" si="74"/>
        <v>0.000485083558856971-0.00623843296804962i</v>
      </c>
      <c r="I365" s="95">
        <f t="shared" si="75"/>
        <v>1.0428005084110665E-3</v>
      </c>
      <c r="J365" s="96">
        <f t="shared" si="84"/>
        <v>0</v>
      </c>
      <c r="K365" s="94" t="str">
        <f t="shared" si="76"/>
        <v>2.94120016619324E-06-0.0000357470565114842i</v>
      </c>
      <c r="L365" s="97">
        <f t="shared" si="77"/>
        <v>3.5867850613785884E-5</v>
      </c>
      <c r="M365" s="98">
        <f t="shared" si="78"/>
        <v>78.096314649037424</v>
      </c>
      <c r="N365" s="98">
        <f t="shared" si="79"/>
        <v>17.989517938174828</v>
      </c>
      <c r="O365" s="98">
        <f t="shared" si="85"/>
        <v>78.10489007478256</v>
      </c>
      <c r="P365" s="73">
        <f t="shared" si="86"/>
        <v>6.0177796984239924</v>
      </c>
      <c r="Q365" s="74">
        <f t="shared" si="87"/>
        <v>-3.8447895908562622</v>
      </c>
      <c r="R365" s="99">
        <f t="shared" si="80"/>
        <v>2.3881160698072203E-2</v>
      </c>
      <c r="S365" s="98">
        <f t="shared" si="81"/>
        <v>8.2140917413574429E-4</v>
      </c>
      <c r="T365" s="100">
        <f t="shared" si="88"/>
        <v>105.29339858479219</v>
      </c>
      <c r="U365" s="100">
        <f t="shared" si="89"/>
        <v>45.186601873929597</v>
      </c>
      <c r="V365" s="101">
        <f t="shared" si="90"/>
        <v>105.30197401053732</v>
      </c>
      <c r="W365" s="125">
        <f t="shared" si="91"/>
        <v>87.150946623374168</v>
      </c>
    </row>
    <row r="366" spans="3:23" x14ac:dyDescent="0.2">
      <c r="C366" s="90">
        <v>977.2</v>
      </c>
      <c r="D366" s="81">
        <f t="shared" si="70"/>
        <v>6139.9286821758924</v>
      </c>
      <c r="E366" s="82" t="str">
        <f t="shared" si="71"/>
        <v>6139.92868217589i</v>
      </c>
      <c r="F366" s="83" t="str">
        <f t="shared" si="72"/>
        <v>5.80847139181144+0.0254982938184034i</v>
      </c>
      <c r="G366" s="84" t="str">
        <f t="shared" si="73"/>
        <v>-9.93138974240282E-07-7.54622918891634E-08i</v>
      </c>
      <c r="H366" s="84" t="str">
        <f t="shared" si="74"/>
        <v>0.000463333090393003-0.00609780247332465i</v>
      </c>
      <c r="I366" s="85">
        <f t="shared" si="75"/>
        <v>9.9600179701253783E-4</v>
      </c>
      <c r="J366" s="70">
        <f t="shared" si="84"/>
        <v>0</v>
      </c>
      <c r="K366" s="84" t="str">
        <f t="shared" si="76"/>
        <v>2.68301735524195E-06-0.0000333707458778462i</v>
      </c>
      <c r="L366" s="86">
        <f t="shared" si="77"/>
        <v>3.3478429810436435E-5</v>
      </c>
      <c r="M366" s="72">
        <f t="shared" si="78"/>
        <v>78.096695872861588</v>
      </c>
      <c r="N366" s="72">
        <f t="shared" si="79"/>
        <v>17.590314241093779</v>
      </c>
      <c r="O366" s="72">
        <f t="shared" si="85"/>
        <v>78.104885917664987</v>
      </c>
      <c r="P366" s="73">
        <f t="shared" si="86"/>
        <v>6.0169790588408096</v>
      </c>
      <c r="Q366" s="74">
        <f t="shared" si="87"/>
        <v>-3.7574913940628392</v>
      </c>
      <c r="R366" s="87">
        <f t="shared" si="80"/>
        <v>2.2809424025183652E-2</v>
      </c>
      <c r="S366" s="72">
        <f t="shared" si="81"/>
        <v>7.6668907981295613E-4</v>
      </c>
      <c r="T366" s="88">
        <f t="shared" si="88"/>
        <v>105.29377980861636</v>
      </c>
      <c r="U366" s="88">
        <f t="shared" si="89"/>
        <v>44.787398176848548</v>
      </c>
      <c r="V366" s="89">
        <f t="shared" si="90"/>
        <v>105.30196985341976</v>
      </c>
      <c r="W366" s="125">
        <f t="shared" si="91"/>
        <v>87.162543223079112</v>
      </c>
    </row>
    <row r="367" spans="3:23" x14ac:dyDescent="0.2">
      <c r="C367" s="102">
        <v>1000</v>
      </c>
      <c r="D367" s="91">
        <f t="shared" si="70"/>
        <v>6283.1853071795858</v>
      </c>
      <c r="E367" s="92" t="str">
        <f t="shared" si="71"/>
        <v>6283.18530717959i</v>
      </c>
      <c r="F367" s="93" t="str">
        <f t="shared" si="72"/>
        <v>5.80822943691814+0.0249148352242081i</v>
      </c>
      <c r="G367" s="94" t="str">
        <f t="shared" si="73"/>
        <v>-9.48531212730311E-07-7.04232019829305E-08i</v>
      </c>
      <c r="H367" s="94" t="str">
        <f t="shared" si="74"/>
        <v>0.000442482027983689-0.00595979737922833i</v>
      </c>
      <c r="I367" s="95">
        <f t="shared" si="75"/>
        <v>9.5114188683979395E-4</v>
      </c>
      <c r="J367" s="96">
        <f t="shared" si="84"/>
        <v>0</v>
      </c>
      <c r="K367" s="94" t="str">
        <f t="shared" si="76"/>
        <v>2.44667205892371E-06-0.000031144361588356i</v>
      </c>
      <c r="L367" s="97">
        <f t="shared" si="77"/>
        <v>3.1240317906676026E-5</v>
      </c>
      <c r="M367" s="98">
        <f t="shared" si="78"/>
        <v>78.097061256269484</v>
      </c>
      <c r="N367" s="98">
        <f t="shared" si="79"/>
        <v>17.189652354211397</v>
      </c>
      <c r="O367" s="98">
        <f t="shared" si="85"/>
        <v>78.104881933066636</v>
      </c>
      <c r="P367" s="103">
        <f t="shared" si="86"/>
        <v>6.0162118296724918</v>
      </c>
      <c r="Q367" s="104">
        <f t="shared" si="87"/>
        <v>-3.6718651756357534</v>
      </c>
      <c r="R367" s="99">
        <f t="shared" si="80"/>
        <v>2.1782087813611652E-2</v>
      </c>
      <c r="S367" s="98">
        <f t="shared" si="81"/>
        <v>7.1543410860526913E-4</v>
      </c>
      <c r="T367" s="100">
        <f t="shared" si="88"/>
        <v>105.29414519202425</v>
      </c>
      <c r="U367" s="100">
        <f t="shared" si="89"/>
        <v>44.386736289966166</v>
      </c>
      <c r="V367" s="101">
        <f t="shared" si="90"/>
        <v>105.30196586882141</v>
      </c>
      <c r="W367" s="126">
        <f t="shared" si="91"/>
        <v>87.173658796705666</v>
      </c>
    </row>
  </sheetData>
  <sheetProtection password="CB75" sheet="1" objects="1" scenarios="1" selectLockedCells="1"/>
  <protectedRanges>
    <protectedRange password="EFC6" sqref="E39:E41" name="Port Input"/>
    <protectedRange password="EFC6" sqref="E34:E36" name="Box Input"/>
    <protectedRange password="EFC6" sqref="E17:E25" name="Driver Input"/>
  </protectedRanges>
  <mergeCells count="4">
    <mergeCell ref="B3:E3"/>
    <mergeCell ref="F165:Q165"/>
    <mergeCell ref="R165:V165"/>
    <mergeCell ref="B5:E5"/>
  </mergeCells>
  <phoneticPr fontId="1" type="noConversion"/>
  <conditionalFormatting sqref="E53">
    <cfRule type="cellIs" dxfId="6" priority="20" operator="lessThan">
      <formula>0.9*$E$55</formula>
    </cfRule>
  </conditionalFormatting>
  <conditionalFormatting sqref="E55">
    <cfRule type="cellIs" dxfId="5" priority="19" operator="lessThan">
      <formula>0.9*$E$53</formula>
    </cfRule>
  </conditionalFormatting>
  <conditionalFormatting sqref="E47:E48">
    <cfRule type="cellIs" dxfId="4" priority="18" operator="greaterThan">
      <formula>$E$59</formula>
    </cfRule>
  </conditionalFormatting>
  <conditionalFormatting sqref="E58">
    <cfRule type="cellIs" dxfId="3" priority="7" operator="greaterThan">
      <formula>$E$59</formula>
    </cfRule>
  </conditionalFormatting>
  <conditionalFormatting sqref="E39">
    <cfRule type="cellIs" dxfId="2" priority="3" operator="lessThan">
      <formula>0.9*($E$57)</formula>
    </cfRule>
  </conditionalFormatting>
  <conditionalFormatting sqref="J167:J367">
    <cfRule type="cellIs" dxfId="1" priority="2" operator="equal">
      <formula>$E$52</formula>
    </cfRule>
  </conditionalFormatting>
  <conditionalFormatting sqref="L167:L367">
    <cfRule type="cellIs" dxfId="0" priority="1" operator="equal">
      <formula>$E$54</formula>
    </cfRule>
  </conditionalFormatting>
  <printOptions horizontalCentered="1" verticalCentered="1"/>
  <pageMargins left="0.75" right="0.75" top="1" bottom="1" header="0.5" footer="0.5"/>
  <pageSetup fitToWidth="2" orientation="landscape" horizontalDpi="4294967294" verticalDpi="300" r:id="rId1"/>
  <headerFooter alignWithMargins="0"/>
  <colBreaks count="1" manualBreakCount="1">
    <brk id="6" min="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32</vt:i4>
      </vt:variant>
    </vt:vector>
  </HeadingPairs>
  <TitlesOfParts>
    <vt:vector size="33" baseType="lpstr">
      <vt:lpstr>Ported T-S Model</vt:lpstr>
      <vt:lpstr>Bl</vt:lpstr>
      <vt:lpstr>Dbl</vt:lpstr>
      <vt:lpstr>Dd</vt:lpstr>
      <vt:lpstr>Dp</vt:lpstr>
      <vt:lpstr>Fb</vt:lpstr>
      <vt:lpstr>Fs</vt:lpstr>
      <vt:lpstr>Kbp</vt:lpstr>
      <vt:lpstr>Kd</vt:lpstr>
      <vt:lpstr>Le</vt:lpstr>
      <vt:lpstr>Lp</vt:lpstr>
      <vt:lpstr>LpM</vt:lpstr>
      <vt:lpstr>LpR</vt:lpstr>
      <vt:lpstr>MaxV</vt:lpstr>
      <vt:lpstr>Md</vt:lpstr>
      <vt:lpstr>Mp</vt:lpstr>
      <vt:lpstr>MVd</vt:lpstr>
      <vt:lpstr>MVp</vt:lpstr>
      <vt:lpstr>Qbl</vt:lpstr>
      <vt:lpstr>Qes</vt:lpstr>
      <vt:lpstr>Qms</vt:lpstr>
      <vt:lpstr>Qts</vt:lpstr>
      <vt:lpstr>Re</vt:lpstr>
      <vt:lpstr>Rho</vt:lpstr>
      <vt:lpstr>Sd</vt:lpstr>
      <vt:lpstr>SensV</vt:lpstr>
      <vt:lpstr>Sp</vt:lpstr>
      <vt:lpstr>SpR</vt:lpstr>
      <vt:lpstr>SS</vt:lpstr>
      <vt:lpstr>Vas</vt:lpstr>
      <vt:lpstr>Vb</vt:lpstr>
      <vt:lpstr>Vpm</vt:lpstr>
      <vt:lpstr>Xdmax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Gesellchen</dc:creator>
  <cp:lastModifiedBy>Gary Gesellchen</cp:lastModifiedBy>
  <cp:lastPrinted>2009-08-18T00:30:57Z</cp:lastPrinted>
  <dcterms:created xsi:type="dcterms:W3CDTF">2009-03-07T01:06:33Z</dcterms:created>
  <dcterms:modified xsi:type="dcterms:W3CDTF">2020-02-10T21:34:11Z</dcterms:modified>
</cp:coreProperties>
</file>